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119"/>
  <workbookPr defaultThemeVersion="124226"/>
  <mc:AlternateContent xmlns:mc="http://schemas.openxmlformats.org/markup-compatibility/2006">
    <mc:Choice Requires="x15">
      <x15ac:absPath xmlns:x15ac="http://schemas.microsoft.com/office/spreadsheetml/2010/11/ac" url="/Users/louiehart/Documents/CV/projects/"/>
    </mc:Choice>
  </mc:AlternateContent>
  <xr:revisionPtr revIDLastSave="0" documentId="13_ncr:1_{B7B366E5-396B-A949-8FB3-37EA047DA063}" xr6:coauthVersionLast="47" xr6:coauthVersionMax="47" xr10:uidLastSave="{00000000-0000-0000-0000-000000000000}"/>
  <bookViews>
    <workbookView xWindow="0" yWindow="720" windowWidth="29400" windowHeight="18400" xr2:uid="{00000000-000D-0000-FFFF-FFFF00000000}"/>
  </bookViews>
  <sheets>
    <sheet name="Utility selection model" sheetId="1" r:id="rId1"/>
    <sheet name="Workings"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2" i="2" l="1"/>
  <c r="M12" i="2"/>
  <c r="K12" i="2"/>
  <c r="S4" i="2"/>
  <c r="S5" i="2"/>
  <c r="S6" i="2"/>
  <c r="S7" i="2"/>
  <c r="S8" i="2"/>
  <c r="S3" i="2"/>
  <c r="T3" i="2" s="1"/>
  <c r="P4" i="2"/>
  <c r="P5" i="2"/>
  <c r="P6" i="2"/>
  <c r="P7" i="2"/>
  <c r="P8" i="2"/>
  <c r="P3" i="2"/>
  <c r="Q3" i="2" s="1"/>
  <c r="M4" i="2"/>
  <c r="N5" i="2" s="1"/>
  <c r="M5" i="2"/>
  <c r="M6" i="2"/>
  <c r="M7" i="2"/>
  <c r="M8" i="2"/>
  <c r="M3" i="2"/>
  <c r="N3" i="2" s="1"/>
  <c r="K8" i="2"/>
  <c r="J4" i="2"/>
  <c r="L4" i="2" s="1"/>
  <c r="J5" i="2"/>
  <c r="K5" i="2" s="1"/>
  <c r="J6" i="2"/>
  <c r="K6" i="2" s="1"/>
  <c r="J7" i="2"/>
  <c r="K7" i="2" s="1"/>
  <c r="J8" i="2"/>
  <c r="L8" i="2" s="1"/>
  <c r="J3" i="2"/>
  <c r="L3" i="2" s="1"/>
  <c r="A24" i="2"/>
  <c r="B24" i="2" s="1"/>
  <c r="A25" i="2"/>
  <c r="B25" i="2" s="1"/>
  <c r="A26" i="2"/>
  <c r="B26" i="2" s="1"/>
  <c r="A27" i="2"/>
  <c r="B27" i="2" s="1"/>
  <c r="A28" i="2"/>
  <c r="B28" i="2" s="1"/>
  <c r="A23" i="2"/>
  <c r="B23" i="2" s="1"/>
  <c r="D8" i="2"/>
  <c r="D9" i="2"/>
  <c r="D10" i="2"/>
  <c r="D11" i="2"/>
  <c r="D12" i="2"/>
  <c r="D7" i="2"/>
  <c r="C8" i="2"/>
  <c r="C9" i="2"/>
  <c r="C10" i="2"/>
  <c r="C11" i="2"/>
  <c r="C12" i="2"/>
  <c r="C7" i="2"/>
  <c r="A8" i="2"/>
  <c r="F8" i="2" s="1"/>
  <c r="A9" i="2"/>
  <c r="E9" i="2" s="1"/>
  <c r="A10" i="2"/>
  <c r="F10" i="2" s="1"/>
  <c r="A11" i="2"/>
  <c r="F11" i="2" s="1"/>
  <c r="A12" i="2"/>
  <c r="F12" i="2" s="1"/>
  <c r="A7" i="2"/>
  <c r="F7" i="2" s="1"/>
  <c r="B8" i="2"/>
  <c r="B9" i="2"/>
  <c r="B10" i="2"/>
  <c r="B11" i="2"/>
  <c r="B12" i="2"/>
  <c r="B7" i="2"/>
  <c r="D2" i="2"/>
  <c r="O4" i="2" l="1"/>
  <c r="K3" i="2"/>
  <c r="J12" i="2"/>
  <c r="K4" i="2"/>
  <c r="L7" i="2"/>
  <c r="Q4" i="2"/>
  <c r="R5" i="2" s="1"/>
  <c r="N6" i="2"/>
  <c r="O7" i="2" s="1"/>
  <c r="N4" i="2"/>
  <c r="O5" i="2" s="1"/>
  <c r="J22" i="2"/>
  <c r="K22" i="2"/>
  <c r="L22" i="2"/>
  <c r="L6" i="2"/>
  <c r="N8" i="2"/>
  <c r="J17" i="2" s="1"/>
  <c r="O6" i="2"/>
  <c r="E8" i="2"/>
  <c r="L5" i="2"/>
  <c r="N7" i="2"/>
  <c r="Q8" i="2"/>
  <c r="U4" i="2"/>
  <c r="M13" i="2" s="1"/>
  <c r="L12" i="2"/>
  <c r="T8" i="2"/>
  <c r="L17" i="2" s="1"/>
  <c r="T7" i="2"/>
  <c r="T6" i="2"/>
  <c r="T5" i="2"/>
  <c r="L14" i="2" s="1"/>
  <c r="T4" i="2"/>
  <c r="N12" i="2"/>
  <c r="R4" i="2"/>
  <c r="J13" i="2"/>
  <c r="Q6" i="2"/>
  <c r="Q7" i="2"/>
  <c r="Q5" i="2"/>
  <c r="C23" i="2"/>
  <c r="C26" i="2" s="1"/>
  <c r="E12" i="2"/>
  <c r="E7" i="2"/>
  <c r="D23" i="2"/>
  <c r="D26" i="2" s="1"/>
  <c r="E23" i="2"/>
  <c r="E26" i="2" s="1"/>
  <c r="F9" i="2"/>
  <c r="G16" i="2" s="1"/>
  <c r="G17" i="2" s="1"/>
  <c r="G18" i="2" s="1"/>
  <c r="C27" i="1" s="1"/>
  <c r="E11" i="2"/>
  <c r="E10" i="2"/>
  <c r="K14" i="2" l="1"/>
  <c r="O8" i="2"/>
  <c r="L25" i="2"/>
  <c r="L15" i="2"/>
  <c r="K25" i="2"/>
  <c r="L28" i="2" a="1"/>
  <c r="L28" i="2" s="1"/>
  <c r="C39" i="1" s="1"/>
  <c r="L16" i="2"/>
  <c r="K28" i="2" a="1"/>
  <c r="K28" i="2" s="1"/>
  <c r="D39" i="1" s="1"/>
  <c r="J25" i="2"/>
  <c r="J28" i="2" s="1" a="1"/>
  <c r="J28" i="2" s="1"/>
  <c r="B39" i="1" s="1"/>
  <c r="U5" i="2"/>
  <c r="M14" i="2" s="1"/>
  <c r="U6" i="2"/>
  <c r="M15" i="2" s="1"/>
  <c r="L13" i="2"/>
  <c r="U7" i="2"/>
  <c r="M16" i="2" s="1"/>
  <c r="U8" i="2"/>
  <c r="M17" i="2" s="1"/>
  <c r="N17" i="2"/>
  <c r="N13" i="2"/>
  <c r="O13" i="2"/>
  <c r="K13" i="2"/>
  <c r="J14" i="2"/>
  <c r="J18" i="2" s="1" a="1"/>
  <c r="J18" i="2" s="1"/>
  <c r="B37" i="1" s="1"/>
  <c r="R8" i="2"/>
  <c r="R6" i="2"/>
  <c r="R7" i="2"/>
  <c r="N14" i="2"/>
  <c r="N16" i="2"/>
  <c r="J16" i="2"/>
  <c r="N15" i="2"/>
  <c r="J15" i="2"/>
  <c r="B31" i="1" a="1"/>
  <c r="B31" i="1" s="1"/>
  <c r="C31" i="1" s="1" a="1"/>
  <c r="C31" i="1" s="1"/>
  <c r="B16" i="2"/>
  <c r="B17" i="2" s="1"/>
  <c r="B18" i="2" s="1"/>
  <c r="B28" i="1" s="1"/>
  <c r="D16" i="2"/>
  <c r="D17" i="2" s="1"/>
  <c r="D18" i="2" s="1"/>
  <c r="D28" i="1" s="1"/>
  <c r="F16" i="2"/>
  <c r="F17" i="2" s="1"/>
  <c r="F18" i="2" s="1"/>
  <c r="B27" i="1" s="1"/>
  <c r="H16" i="2"/>
  <c r="C16" i="2"/>
  <c r="C17" i="2" s="1"/>
  <c r="L18" i="2" l="1" a="1"/>
  <c r="L18" i="2" s="1"/>
  <c r="D37" i="1" s="1"/>
  <c r="O14" i="2"/>
  <c r="M18" i="2" a="1"/>
  <c r="M18" i="2" s="1"/>
  <c r="D38" i="1" s="1"/>
  <c r="N18" i="2" a="1"/>
  <c r="N18" i="2" s="1"/>
  <c r="C37" i="1" s="1"/>
  <c r="O16" i="2"/>
  <c r="K16" i="2"/>
  <c r="O15" i="2"/>
  <c r="K15" i="2"/>
  <c r="O17" i="2"/>
  <c r="K17" i="2"/>
  <c r="D31" i="1" a="1"/>
  <c r="D31" i="1" s="1"/>
  <c r="H17" i="2"/>
  <c r="H18" i="2" s="1"/>
  <c r="D27" i="1" s="1"/>
  <c r="C18" i="2"/>
  <c r="C28" i="1" s="1"/>
  <c r="K18" i="2" l="1" a="1"/>
  <c r="K18" i="2" s="1"/>
  <c r="B38" i="1" s="1"/>
  <c r="O18" i="2" a="1"/>
  <c r="O18" i="2" s="1"/>
  <c r="C3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<sst xmlns="http://schemas.openxmlformats.org/spreadsheetml/2006/main" count="98" uniqueCount="73">
  <si>
    <t>Labels</t>
  </si>
  <si>
    <t>Inputs</t>
  </si>
  <si>
    <t>Outputs</t>
  </si>
  <si>
    <t>Intermediate calculations</t>
  </si>
  <si>
    <t>A</t>
  </si>
  <si>
    <t>B</t>
  </si>
  <si>
    <t>C</t>
  </si>
  <si>
    <t>Wealth</t>
  </si>
  <si>
    <t>a</t>
  </si>
  <si>
    <t>First choice</t>
  </si>
  <si>
    <t>Second choice</t>
  </si>
  <si>
    <t>Third choice</t>
  </si>
  <si>
    <t>Probabilities</t>
  </si>
  <si>
    <t>A vs B</t>
  </si>
  <si>
    <t>B vs C</t>
  </si>
  <si>
    <t>C vs A</t>
  </si>
  <si>
    <t>mean variance investor</t>
  </si>
  <si>
    <t>returns</t>
  </si>
  <si>
    <t xml:space="preserve">vector </t>
  </si>
  <si>
    <t>strictly increasing</t>
  </si>
  <si>
    <t>must  be</t>
  </si>
  <si>
    <t>indifference prices</t>
  </si>
  <si>
    <t>exponential utility</t>
  </si>
  <si>
    <t>b</t>
  </si>
  <si>
    <t>prefers more to less</t>
  </si>
  <si>
    <t>prefers more to less and risk averse</t>
  </si>
  <si>
    <t>Return(%)</t>
  </si>
  <si>
    <t>long-term growth rate</t>
  </si>
  <si>
    <t>power utility</t>
  </si>
  <si>
    <t>power function</t>
  </si>
  <si>
    <t>U(W) = bW^(1/2)</t>
  </si>
  <si>
    <t>W</t>
  </si>
  <si>
    <t>utility</t>
  </si>
  <si>
    <t>Power Utilities</t>
  </si>
  <si>
    <t>value (%)</t>
  </si>
  <si>
    <t xml:space="preserve">𝔼[ 𝑈(𝑊) ] = </t>
  </si>
  <si>
    <t>A probs</t>
  </si>
  <si>
    <t>B probs</t>
  </si>
  <si>
    <t>C probs</t>
  </si>
  <si>
    <t>Ι</t>
  </si>
  <si>
    <t>indifference P</t>
  </si>
  <si>
    <t>Power utility</t>
  </si>
  <si>
    <t>Exponential utility</t>
  </si>
  <si>
    <t>Exponential Utilities</t>
  </si>
  <si>
    <t>long term growth rate</t>
  </si>
  <si>
    <t>log(1+R)</t>
  </si>
  <si>
    <t xml:space="preserve">𝔼[log(1+R)] </t>
  </si>
  <si>
    <t>l-term g-rate</t>
  </si>
  <si>
    <t>r</t>
  </si>
  <si>
    <t>log(1+r)</t>
  </si>
  <si>
    <t>r^2</t>
  </si>
  <si>
    <t>f_a</t>
  </si>
  <si>
    <t>F_a</t>
  </si>
  <si>
    <t>F~_a</t>
  </si>
  <si>
    <t>f_b</t>
  </si>
  <si>
    <t>F_b</t>
  </si>
  <si>
    <t>F~_b</t>
  </si>
  <si>
    <t>f_c</t>
  </si>
  <si>
    <t>F_c</t>
  </si>
  <si>
    <t>F~_c</t>
  </si>
  <si>
    <t>first</t>
  </si>
  <si>
    <t>second</t>
  </si>
  <si>
    <t>A vs C</t>
  </si>
  <si>
    <t xml:space="preserve">first </t>
  </si>
  <si>
    <t>mean r_a</t>
  </si>
  <si>
    <t>mean r_b</t>
  </si>
  <si>
    <t>mean r_c</t>
  </si>
  <si>
    <t>var r_a</t>
  </si>
  <si>
    <t>var r_b</t>
  </si>
  <si>
    <t>var r_c</t>
  </si>
  <si>
    <t xml:space="preserve">B vs C </t>
  </si>
  <si>
    <t>Model Description</t>
  </si>
  <si>
    <t>The adjacent model has been created to use Utility Theory concepts to aid in the user's decision when choosing between 3 different securities (A, B or C). The user inputs parameter values such as their initial wealth as well as a set of discrete expected return values with their corresponding likelihoods for the 3 securities. The models first batch of output displays the indifference prices for the respective securities under two different utility function assumptions (Exponential and Power utility) which are tuned by the 'a' and 'b' parameters respectively. The second batch of output orders the 3 securities according to the models predicted long term growth rate, in case the user is interested in holding the portfolio/security for an extended period of time. Lastly the model outputs a 3 criteria table which evaluates each of the securites against one another based on the 3 criteria listed. Please refer to the sheet 'Workings' for all calculations and intermediate steps.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</si>
</sst>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000_);\(#,##0.0000\)"/>
    <numFmt numFmtId="165" formatCode="0.0000"/>
  </numFmts>
  <fonts count="9" x14ac:knownFonts="1">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b/>
      <u/>
      <sz val="11"/>
      <color theme="1"/>
      <name val="Calibri"/>
      <family val="2"/>
      <scheme val="minor"/>
    </font>
    <font>
      <b/>
      <sz val="11"/>
      <color theme="1"/>
      <name val="Cambria Math"/>
      <family val="1"/>
    </font>
    <font>
      <b/>
      <sz val="14"/>
      <color theme="1"/>
      <name val="Calibri"/>
      <family val="2"/>
      <scheme val="minor"/>
    </font>
    <font>
      <b/>
      <u/>
      <sz val="16"/>
      <color theme="1"/>
      <name val="Calibri"/>
      <family val="2"/>
      <scheme val="minor"/>
    </font>
  </fonts>
  <fills count="7">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00B0F0"/>
        <bgColor indexed="64"/>
      </patternFill>
    </fill>
    <fill>
      <patternFill patternType="solid">
        <fgColor theme="6" tint="0.39997558519241921"/>
        <bgColor indexed="64"/>
      </patternFill>
    </fill>
    <fill>
      <patternFill patternType="solid">
        <fgColor theme="8"/>
        <bgColor indexed="64"/>
      </patternFill>
    </fill>
  </fills>
  <borders count="1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bottom style="medium">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49">
    <xf numFmtId="0" fontId="0" fillId="0" borderId="0" xfId="0"/>
    <xf numFmtId="0" fontId="0" fillId="2" borderId="0" xfId="0" applyFill="1"/>
    <xf numFmtId="0" fontId="0" fillId="3" borderId="0" xfId="0" applyFill="1"/>
    <xf numFmtId="0" fontId="0" fillId="4" borderId="0" xfId="0" applyFill="1"/>
    <xf numFmtId="0" fontId="0" fillId="0" borderId="0" xfId="0" applyAlignment="1">
      <alignment horizontal="center"/>
    </xf>
    <xf numFmtId="0" fontId="0" fillId="5" borderId="0" xfId="0" applyFill="1"/>
    <xf numFmtId="0" fontId="0" fillId="2" borderId="0" xfId="0" applyFill="1" applyAlignment="1">
      <alignment horizontal="center"/>
    </xf>
    <xf numFmtId="0" fontId="0" fillId="4" borderId="0" xfId="0" applyFill="1" applyAlignment="1">
      <alignment horizontal="center"/>
    </xf>
    <xf numFmtId="0" fontId="0" fillId="2" borderId="0" xfId="0" applyFill="1" applyAlignment="1">
      <alignment horizontal="right"/>
    </xf>
    <xf numFmtId="0" fontId="0" fillId="2" borderId="4" xfId="0" applyFill="1" applyBorder="1" applyAlignment="1">
      <alignment horizontal="center"/>
    </xf>
    <xf numFmtId="0" fontId="0" fillId="2" borderId="6" xfId="0" applyFill="1" applyBorder="1" applyAlignment="1">
      <alignment horizontal="center"/>
    </xf>
    <xf numFmtId="0" fontId="4" fillId="2" borderId="8" xfId="0" applyFont="1"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2" borderId="10" xfId="0" applyFill="1" applyBorder="1" applyAlignment="1">
      <alignment horizontal="center"/>
    </xf>
    <xf numFmtId="0" fontId="0" fillId="3" borderId="1" xfId="0" applyFill="1" applyBorder="1" applyAlignment="1">
      <alignment horizontal="center"/>
    </xf>
    <xf numFmtId="0" fontId="0" fillId="3" borderId="2" xfId="0"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0" fillId="3" borderId="0" xfId="0" applyFill="1" applyAlignment="1">
      <alignment horizontal="center"/>
    </xf>
    <xf numFmtId="0" fontId="0" fillId="3" borderId="5" xfId="0" applyFill="1" applyBorder="1" applyAlignment="1">
      <alignment horizontal="center"/>
    </xf>
    <xf numFmtId="0" fontId="0" fillId="3" borderId="6" xfId="0" applyFill="1" applyBorder="1" applyAlignment="1">
      <alignment horizontal="center"/>
    </xf>
    <xf numFmtId="0" fontId="0" fillId="3" borderId="7" xfId="0" applyFill="1" applyBorder="1" applyAlignment="1">
      <alignment horizontal="center"/>
    </xf>
    <xf numFmtId="0" fontId="0" fillId="3" borderId="0" xfId="0" applyFill="1" applyAlignment="1">
      <alignment horizontal="center" wrapText="1"/>
    </xf>
    <xf numFmtId="0" fontId="0" fillId="3" borderId="11" xfId="0" applyFill="1" applyBorder="1" applyAlignment="1">
      <alignment horizontal="center"/>
    </xf>
    <xf numFmtId="0" fontId="0" fillId="0" borderId="12" xfId="0" applyBorder="1"/>
    <xf numFmtId="164" fontId="0" fillId="4" borderId="4" xfId="0" applyNumberFormat="1" applyFill="1" applyBorder="1" applyAlignment="1">
      <alignment horizontal="center"/>
    </xf>
    <xf numFmtId="4" fontId="0" fillId="3" borderId="0" xfId="1" applyNumberFormat="1" applyFont="1" applyFill="1" applyAlignment="1">
      <alignment horizontal="center"/>
    </xf>
    <xf numFmtId="0" fontId="4" fillId="0" borderId="0" xfId="0" applyFont="1"/>
    <xf numFmtId="0" fontId="6" fillId="0" borderId="13" xfId="0" applyFont="1" applyBorder="1" applyAlignment="1">
      <alignment horizontal="center"/>
    </xf>
    <xf numFmtId="2" fontId="0" fillId="0" borderId="0" xfId="0" applyNumberFormat="1"/>
    <xf numFmtId="0" fontId="4" fillId="0" borderId="14" xfId="0" applyFont="1" applyBorder="1"/>
    <xf numFmtId="2" fontId="0" fillId="0" borderId="12" xfId="0" applyNumberFormat="1" applyBorder="1"/>
    <xf numFmtId="4" fontId="0" fillId="0" borderId="12" xfId="0" applyNumberFormat="1" applyBorder="1"/>
    <xf numFmtId="0" fontId="0" fillId="0" borderId="13" xfId="0" applyBorder="1"/>
    <xf numFmtId="4" fontId="0" fillId="0" borderId="14" xfId="0" applyNumberFormat="1" applyBorder="1"/>
    <xf numFmtId="0" fontId="2" fillId="0" borderId="13" xfId="0" applyFont="1" applyBorder="1" applyAlignment="1">
      <alignment horizontal="right"/>
    </xf>
    <xf numFmtId="0" fontId="0" fillId="0" borderId="0" xfId="0" applyAlignment="1">
      <alignment horizontal="right"/>
    </xf>
    <xf numFmtId="165" fontId="0" fillId="6" borderId="0" xfId="0" applyNumberFormat="1" applyFill="1"/>
    <xf numFmtId="0" fontId="4" fillId="0" borderId="15" xfId="0" applyFont="1" applyBorder="1"/>
    <xf numFmtId="0" fontId="0" fillId="0" borderId="15" xfId="0" applyBorder="1"/>
    <xf numFmtId="0" fontId="4" fillId="0" borderId="16" xfId="0" applyFont="1" applyBorder="1"/>
    <xf numFmtId="0" fontId="0" fillId="0" borderId="16" xfId="0" applyBorder="1"/>
    <xf numFmtId="0" fontId="0" fillId="0" borderId="0" xfId="0" applyAlignment="1">
      <alignment horizontal="center"/>
    </xf>
    <xf numFmtId="0" fontId="5" fillId="0" borderId="0" xfId="0" applyFont="1" applyAlignment="1">
      <alignment horizontal="center"/>
    </xf>
    <xf numFmtId="0" fontId="5" fillId="0" borderId="13" xfId="0" applyFont="1" applyBorder="1" applyAlignment="1">
      <alignment horizontal="center"/>
    </xf>
    <xf numFmtId="0" fontId="7" fillId="0" borderId="0" xfId="0" applyFont="1" applyAlignment="1">
      <alignment horizontal="center"/>
    </xf>
    <xf numFmtId="0" fontId="1" fillId="0" borderId="0" xfId="0" applyFont="1" applyAlignment="1">
      <alignment horizontal="left" vertical="center" wrapText="1"/>
    </xf>
    <xf numFmtId="0" fontId="8" fillId="0" borderId="0" xfId="0" applyFont="1" applyAlignment="1">
      <alignment horizontal="center"/>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9"/>
  <sheetViews>
    <sheetView tabSelected="1" workbookViewId="0">
      <selection activeCell="J22" sqref="J22"/>
    </sheetView>
  </sheetViews>
  <sheetFormatPr baseColWidth="10" defaultColWidth="8.83203125" defaultRowHeight="15" x14ac:dyDescent="0.2"/>
  <cols>
    <col min="1" max="1" width="40.1640625" bestFit="1" customWidth="1"/>
    <col min="2" max="2" width="16" customWidth="1"/>
    <col min="3" max="3" width="13.6640625" bestFit="1" customWidth="1"/>
    <col min="4" max="4" width="11.6640625" bestFit="1" customWidth="1"/>
    <col min="5" max="5" width="9.5" customWidth="1"/>
  </cols>
  <sheetData>
    <row r="1" spans="1:14" x14ac:dyDescent="0.2">
      <c r="A1" s="1"/>
      <c r="B1" t="s">
        <v>0</v>
      </c>
    </row>
    <row r="2" spans="1:14" ht="21" x14ac:dyDescent="0.25">
      <c r="A2" s="2"/>
      <c r="B2" t="s">
        <v>1</v>
      </c>
      <c r="J2" s="48" t="s">
        <v>71</v>
      </c>
      <c r="K2" s="48"/>
      <c r="L2" s="48"/>
    </row>
    <row r="3" spans="1:14" ht="15" customHeight="1" x14ac:dyDescent="0.2">
      <c r="A3" s="3"/>
      <c r="B3" t="s">
        <v>2</v>
      </c>
      <c r="H3" s="47" t="s">
        <v>72</v>
      </c>
      <c r="I3" s="47"/>
      <c r="J3" s="47"/>
      <c r="K3" s="47"/>
      <c r="L3" s="47"/>
      <c r="M3" s="47"/>
      <c r="N3" s="47"/>
    </row>
    <row r="4" spans="1:14" ht="15" customHeight="1" x14ac:dyDescent="0.2">
      <c r="A4" s="5"/>
      <c r="B4" t="s">
        <v>3</v>
      </c>
      <c r="H4" s="47"/>
      <c r="I4" s="47"/>
      <c r="J4" s="47"/>
      <c r="K4" s="47"/>
      <c r="L4" s="47"/>
      <c r="M4" s="47"/>
      <c r="N4" s="47"/>
    </row>
    <row r="5" spans="1:14" ht="15" customHeight="1" x14ac:dyDescent="0.2">
      <c r="H5" s="47"/>
      <c r="I5" s="47"/>
      <c r="J5" s="47"/>
      <c r="K5" s="47"/>
      <c r="L5" s="47"/>
      <c r="M5" s="47"/>
      <c r="N5" s="47"/>
    </row>
    <row r="6" spans="1:14" ht="15" customHeight="1" x14ac:dyDescent="0.2">
      <c r="C6" s="6" t="s">
        <v>12</v>
      </c>
      <c r="H6" s="47"/>
      <c r="I6" s="47"/>
      <c r="J6" s="47"/>
      <c r="K6" s="47"/>
      <c r="L6" s="47"/>
      <c r="M6" s="47"/>
      <c r="N6" s="47"/>
    </row>
    <row r="7" spans="1:14" ht="16" customHeight="1" thickBot="1" x14ac:dyDescent="0.25">
      <c r="B7" s="6" t="s">
        <v>26</v>
      </c>
      <c r="C7" s="6" t="s">
        <v>4</v>
      </c>
      <c r="D7" s="6" t="s">
        <v>5</v>
      </c>
      <c r="E7" s="6" t="s">
        <v>6</v>
      </c>
      <c r="H7" s="47"/>
      <c r="I7" s="47"/>
      <c r="J7" s="47"/>
      <c r="K7" s="47"/>
      <c r="L7" s="47"/>
      <c r="M7" s="47"/>
      <c r="N7" s="47"/>
    </row>
    <row r="8" spans="1:14" ht="15" customHeight="1" x14ac:dyDescent="0.2">
      <c r="A8" s="8" t="s">
        <v>17</v>
      </c>
      <c r="B8" s="15">
        <v>-20</v>
      </c>
      <c r="C8" s="16">
        <v>0.1</v>
      </c>
      <c r="D8" s="16">
        <v>0.05</v>
      </c>
      <c r="E8" s="17">
        <v>0</v>
      </c>
      <c r="H8" s="47"/>
      <c r="I8" s="47"/>
      <c r="J8" s="47"/>
      <c r="K8" s="47"/>
      <c r="L8" s="47"/>
      <c r="M8" s="47"/>
      <c r="N8" s="47"/>
    </row>
    <row r="9" spans="1:14" ht="15" customHeight="1" x14ac:dyDescent="0.2">
      <c r="A9" s="8" t="s">
        <v>18</v>
      </c>
      <c r="B9" s="18">
        <v>-10</v>
      </c>
      <c r="C9" s="19">
        <v>0.2</v>
      </c>
      <c r="D9" s="19">
        <v>0.05</v>
      </c>
      <c r="E9" s="20">
        <v>0.1</v>
      </c>
      <c r="H9" s="47"/>
      <c r="I9" s="47"/>
      <c r="J9" s="47"/>
      <c r="K9" s="47"/>
      <c r="L9" s="47"/>
      <c r="M9" s="47"/>
      <c r="N9" s="47"/>
    </row>
    <row r="10" spans="1:14" ht="15" customHeight="1" x14ac:dyDescent="0.2">
      <c r="A10" s="8" t="s">
        <v>20</v>
      </c>
      <c r="B10" s="18">
        <v>0</v>
      </c>
      <c r="C10" s="19">
        <v>0.2</v>
      </c>
      <c r="D10" s="19">
        <v>0.1</v>
      </c>
      <c r="E10" s="20">
        <v>0.1</v>
      </c>
      <c r="H10" s="47"/>
      <c r="I10" s="47"/>
      <c r="J10" s="47"/>
      <c r="K10" s="47"/>
      <c r="L10" s="47"/>
      <c r="M10" s="47"/>
      <c r="N10" s="47"/>
    </row>
    <row r="11" spans="1:14" ht="15" customHeight="1" x14ac:dyDescent="0.2">
      <c r="A11" s="8" t="s">
        <v>19</v>
      </c>
      <c r="B11" s="18">
        <v>5</v>
      </c>
      <c r="C11" s="19">
        <v>0.25</v>
      </c>
      <c r="D11" s="19">
        <v>0.2</v>
      </c>
      <c r="E11" s="20">
        <v>0.2</v>
      </c>
      <c r="H11" s="47"/>
      <c r="I11" s="47"/>
      <c r="J11" s="47"/>
      <c r="K11" s="47"/>
      <c r="L11" s="47"/>
      <c r="M11" s="47"/>
      <c r="N11" s="47"/>
    </row>
    <row r="12" spans="1:14" ht="15" customHeight="1" x14ac:dyDescent="0.2">
      <c r="B12" s="18">
        <v>10</v>
      </c>
      <c r="C12" s="19">
        <v>0.15</v>
      </c>
      <c r="D12" s="19">
        <v>0.3</v>
      </c>
      <c r="E12" s="20">
        <v>0.3</v>
      </c>
      <c r="H12" s="47"/>
      <c r="I12" s="47"/>
      <c r="J12" s="47"/>
      <c r="K12" s="47"/>
      <c r="L12" s="47"/>
      <c r="M12" s="47"/>
      <c r="N12" s="47"/>
    </row>
    <row r="13" spans="1:14" ht="16" customHeight="1" thickBot="1" x14ac:dyDescent="0.25">
      <c r="B13" s="21">
        <v>30</v>
      </c>
      <c r="C13" s="22">
        <v>0.1</v>
      </c>
      <c r="D13" s="22">
        <v>0.3</v>
      </c>
      <c r="E13" s="24">
        <v>0.3</v>
      </c>
      <c r="H13" s="47"/>
      <c r="I13" s="47"/>
      <c r="J13" s="47"/>
      <c r="K13" s="47"/>
      <c r="L13" s="47"/>
      <c r="M13" s="47"/>
      <c r="N13" s="47"/>
    </row>
    <row r="14" spans="1:14" ht="15" customHeight="1" x14ac:dyDescent="0.2">
      <c r="H14" s="47"/>
      <c r="I14" s="47"/>
      <c r="J14" s="47"/>
      <c r="K14" s="47"/>
      <c r="L14" s="47"/>
      <c r="M14" s="47"/>
      <c r="N14" s="47"/>
    </row>
    <row r="15" spans="1:14" ht="15" customHeight="1" x14ac:dyDescent="0.2">
      <c r="H15" s="47"/>
      <c r="I15" s="47"/>
      <c r="J15" s="47"/>
      <c r="K15" s="47"/>
      <c r="L15" s="47"/>
      <c r="M15" s="47"/>
      <c r="N15" s="47"/>
    </row>
    <row r="16" spans="1:14" ht="15" customHeight="1" x14ac:dyDescent="0.2">
      <c r="H16" s="47"/>
      <c r="I16" s="47"/>
      <c r="J16" s="47"/>
      <c r="K16" s="47"/>
      <c r="L16" s="47"/>
      <c r="M16" s="47"/>
      <c r="N16" s="47"/>
    </row>
    <row r="17" spans="1:14" x14ac:dyDescent="0.2">
      <c r="E17" s="4"/>
      <c r="H17" s="47"/>
      <c r="I17" s="47"/>
      <c r="J17" s="47"/>
      <c r="K17" s="47"/>
      <c r="L17" s="47"/>
      <c r="M17" s="47"/>
      <c r="N17" s="47"/>
    </row>
    <row r="18" spans="1:14" x14ac:dyDescent="0.2">
      <c r="E18" s="4"/>
      <c r="H18" s="47"/>
      <c r="I18" s="47"/>
      <c r="J18" s="47"/>
      <c r="K18" s="47"/>
      <c r="L18" s="47"/>
      <c r="M18" s="47"/>
      <c r="N18" s="47"/>
    </row>
    <row r="19" spans="1:14" x14ac:dyDescent="0.2">
      <c r="A19" s="6" t="s">
        <v>23</v>
      </c>
      <c r="B19" s="23">
        <v>2</v>
      </c>
    </row>
    <row r="22" spans="1:14" x14ac:dyDescent="0.2">
      <c r="A22" s="6" t="s">
        <v>7</v>
      </c>
      <c r="B22" s="27">
        <v>50000</v>
      </c>
    </row>
    <row r="23" spans="1:14" x14ac:dyDescent="0.2">
      <c r="A23" s="4"/>
      <c r="B23" s="4"/>
    </row>
    <row r="24" spans="1:14" x14ac:dyDescent="0.2">
      <c r="A24" s="6" t="s">
        <v>8</v>
      </c>
      <c r="B24" s="23">
        <v>1E-4</v>
      </c>
    </row>
    <row r="25" spans="1:14" ht="16" thickBot="1" x14ac:dyDescent="0.25"/>
    <row r="26" spans="1:14" ht="16" thickBot="1" x14ac:dyDescent="0.25">
      <c r="A26" s="11" t="s">
        <v>21</v>
      </c>
      <c r="B26" s="12" t="s">
        <v>4</v>
      </c>
      <c r="C26" s="13" t="s">
        <v>5</v>
      </c>
      <c r="D26" s="14" t="s">
        <v>6</v>
      </c>
    </row>
    <row r="27" spans="1:14" x14ac:dyDescent="0.2">
      <c r="A27" s="9" t="s">
        <v>22</v>
      </c>
      <c r="B27" s="26">
        <f>Workings!F18</f>
        <v>-1039.6826988626199</v>
      </c>
      <c r="C27" s="26">
        <f>Workings!G18</f>
        <v>3243.3422075157287</v>
      </c>
      <c r="D27" s="26">
        <f>Workings!H18</f>
        <v>4011.7851422946551</v>
      </c>
    </row>
    <row r="28" spans="1:14" ht="16" thickBot="1" x14ac:dyDescent="0.25">
      <c r="A28" s="10" t="s">
        <v>28</v>
      </c>
      <c r="B28" s="26">
        <f>Workings!B18</f>
        <v>671.44091442635545</v>
      </c>
      <c r="C28" s="26">
        <f>Workings!C18</f>
        <v>5523.6494214583145</v>
      </c>
      <c r="D28" s="26">
        <f>Workings!D18</f>
        <v>5809.8900539915339</v>
      </c>
    </row>
    <row r="29" spans="1:14" x14ac:dyDescent="0.2">
      <c r="A29" s="4"/>
      <c r="B29" s="4"/>
      <c r="C29" s="4"/>
      <c r="D29" s="4"/>
    </row>
    <row r="30" spans="1:14" x14ac:dyDescent="0.2">
      <c r="A30" s="4"/>
      <c r="B30" s="6" t="s">
        <v>9</v>
      </c>
      <c r="C30" s="6" t="s">
        <v>10</v>
      </c>
      <c r="D30" s="6" t="s">
        <v>11</v>
      </c>
    </row>
    <row r="31" spans="1:14" x14ac:dyDescent="0.2">
      <c r="A31" s="6" t="s">
        <v>27</v>
      </c>
      <c r="B31" s="7" t="str" cm="1">
        <f t="array" ref="B31">_xlfn.IFS(COUNTIF(Workings!C26:E26,MAX(Workings!C26:E26))&gt;1,"no preference",MAX(Workings!C26:E26)=Workings!C26,"A",MAX(Workings!C26:E26)=Workings!D26,"B",MAX(Workings!C26:E26)=Workings!E26,"C")</f>
        <v>C</v>
      </c>
      <c r="C31" s="7" t="str" cm="1">
        <f t="array" ref="C31">_xlfn.IFS(COUNTIF(Workings!C26:E26,LARGE(Workings!C26:E26,2))&gt;1,"no preference",AND(Workings!C26=LARGE(Workings!C26:E26,2),B31&lt;&gt;"A"),"A",AND(Workings!D26=LARGE(Workings!C26:E26,2),B31&lt;&gt;"B"),"B",AND(Workings!E26=LARGE(Workings!C26:E26,2),B31&lt;&gt;"C"),"C")</f>
        <v>B</v>
      </c>
      <c r="D31" s="7" t="str" cm="1">
        <f t="array" ref="D31">_xlfn.IFS(COUNTIF(Workings!C26:E26,MIN(Workings!C26:E26))&gt;1,"no preference",
   AND(Workings!C26=MIN(Workings!C26:E26),B31&lt;&gt;"A",C31&lt;&gt;"A"),"A",
   AND(Workings!D26=MIN(Workings!C26:E26),B31&lt;&gt;"B",C31&lt;&gt;"B"),"B",
   AND(Workings!E26=MIN(Workings!C26:E26),B31&lt;&gt;"C",C31&lt;&gt;"C"),"C")</f>
        <v>A</v>
      </c>
    </row>
    <row r="36" spans="1:4" x14ac:dyDescent="0.2">
      <c r="B36" s="6" t="s">
        <v>13</v>
      </c>
      <c r="C36" s="6" t="s">
        <v>14</v>
      </c>
      <c r="D36" s="6" t="s">
        <v>15</v>
      </c>
    </row>
    <row r="37" spans="1:4" x14ac:dyDescent="0.2">
      <c r="A37" s="6" t="s">
        <v>24</v>
      </c>
      <c r="B37" s="7" t="str">
        <f>Workings!J18</f>
        <v>B</v>
      </c>
      <c r="C37" s="7" t="str">
        <f>Workings!N18</f>
        <v>C</v>
      </c>
      <c r="D37" s="7" t="str">
        <f>Workings!L18</f>
        <v>C</v>
      </c>
    </row>
    <row r="38" spans="1:4" x14ac:dyDescent="0.2">
      <c r="A38" s="6" t="s">
        <v>25</v>
      </c>
      <c r="B38" s="7" t="str">
        <f>Workings!K18</f>
        <v>B</v>
      </c>
      <c r="C38" s="7" t="str">
        <f>Workings!O18</f>
        <v>C</v>
      </c>
      <c r="D38" s="7" t="str">
        <f>Workings!M18</f>
        <v>C</v>
      </c>
    </row>
    <row r="39" spans="1:4" x14ac:dyDescent="0.2">
      <c r="A39" s="6" t="s">
        <v>16</v>
      </c>
      <c r="B39" s="7" t="str">
        <f>Workings!J28</f>
        <v>no preference</v>
      </c>
      <c r="C39" s="7" t="str">
        <f>Workings!L28</f>
        <v>C</v>
      </c>
      <c r="D39" s="7" t="str">
        <f>Workings!K28</f>
        <v>no preference</v>
      </c>
    </row>
  </sheetData>
  <mergeCells count="2">
    <mergeCell ref="H3:N18"/>
    <mergeCell ref="J2:L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CCD03-C833-FE4D-829D-CFF342F947F9}">
  <dimension ref="A1:U28"/>
  <sheetViews>
    <sheetView workbookViewId="0">
      <selection activeCell="L29" sqref="L29"/>
    </sheetView>
  </sheetViews>
  <sheetFormatPr baseColWidth="10" defaultRowHeight="15" x14ac:dyDescent="0.2"/>
  <cols>
    <col min="1" max="2" width="13.6640625" bestFit="1" customWidth="1"/>
    <col min="3" max="3" width="19.83203125" bestFit="1" customWidth="1"/>
    <col min="4" max="4" width="20.83203125" bestFit="1" customWidth="1"/>
    <col min="5" max="5" width="13" customWidth="1"/>
    <col min="6" max="6" width="15.1640625" bestFit="1" customWidth="1"/>
  </cols>
  <sheetData>
    <row r="1" spans="1:21" x14ac:dyDescent="0.2">
      <c r="A1" t="s">
        <v>29</v>
      </c>
      <c r="B1" t="s">
        <v>31</v>
      </c>
      <c r="C1" t="s">
        <v>23</v>
      </c>
      <c r="D1" t="s">
        <v>32</v>
      </c>
      <c r="H1" s="34"/>
    </row>
    <row r="2" spans="1:21" x14ac:dyDescent="0.2">
      <c r="A2" t="s">
        <v>30</v>
      </c>
      <c r="B2">
        <v>100</v>
      </c>
      <c r="C2">
        <v>3</v>
      </c>
      <c r="D2">
        <f>C2*(B2^(1/2))</f>
        <v>30</v>
      </c>
      <c r="H2" s="34"/>
      <c r="J2" s="39" t="s">
        <v>48</v>
      </c>
      <c r="K2" s="39" t="s">
        <v>49</v>
      </c>
      <c r="L2" s="39" t="s">
        <v>50</v>
      </c>
      <c r="M2" s="39" t="s">
        <v>51</v>
      </c>
      <c r="N2" s="39" t="s">
        <v>52</v>
      </c>
      <c r="O2" s="39" t="s">
        <v>53</v>
      </c>
      <c r="P2" s="39" t="s">
        <v>54</v>
      </c>
      <c r="Q2" s="39" t="s">
        <v>55</v>
      </c>
      <c r="R2" s="41" t="s">
        <v>56</v>
      </c>
      <c r="S2" s="39" t="s">
        <v>57</v>
      </c>
      <c r="T2" s="39" t="s">
        <v>58</v>
      </c>
      <c r="U2" s="39" t="s">
        <v>59</v>
      </c>
    </row>
    <row r="3" spans="1:21" x14ac:dyDescent="0.2">
      <c r="H3" s="34"/>
      <c r="J3" s="40">
        <f>'Utility selection model'!B8/100</f>
        <v>-0.2</v>
      </c>
      <c r="K3" s="40">
        <f>LN(1+J3)</f>
        <v>-0.22314355131420971</v>
      </c>
      <c r="L3" s="40">
        <f>J3^2</f>
        <v>4.0000000000000008E-2</v>
      </c>
      <c r="M3" s="40">
        <f>'Utility selection model'!C8</f>
        <v>0.1</v>
      </c>
      <c r="N3" s="40">
        <f>SUM($M$3:M3)</f>
        <v>0.1</v>
      </c>
      <c r="O3" s="40">
        <v>0</v>
      </c>
      <c r="P3" s="40">
        <f>'Utility selection model'!D8</f>
        <v>0.05</v>
      </c>
      <c r="Q3" s="40">
        <f>SUM($P$3:P3)</f>
        <v>0.05</v>
      </c>
      <c r="R3" s="42">
        <v>0</v>
      </c>
      <c r="S3" s="40">
        <f>'Utility selection model'!E8</f>
        <v>0</v>
      </c>
      <c r="T3" s="40">
        <f>SUM($S$3:S3)</f>
        <v>0</v>
      </c>
      <c r="U3" s="40">
        <v>0</v>
      </c>
    </row>
    <row r="4" spans="1:21" x14ac:dyDescent="0.2">
      <c r="H4" s="34"/>
      <c r="J4" s="40">
        <f>'Utility selection model'!B9/100</f>
        <v>-0.1</v>
      </c>
      <c r="K4" s="40">
        <f t="shared" ref="K4:K8" si="0">LN(1+J4)</f>
        <v>-0.10536051565782628</v>
      </c>
      <c r="L4" s="40">
        <f t="shared" ref="L4:L8" si="1">J4^2</f>
        <v>1.0000000000000002E-2</v>
      </c>
      <c r="M4" s="40">
        <f>'Utility selection model'!C9</f>
        <v>0.2</v>
      </c>
      <c r="N4" s="40">
        <f>SUM($M$3:M4)</f>
        <v>0.30000000000000004</v>
      </c>
      <c r="O4" s="40">
        <f>SUM($N$3:N3)</f>
        <v>0.1</v>
      </c>
      <c r="P4" s="40">
        <f>'Utility selection model'!D9</f>
        <v>0.05</v>
      </c>
      <c r="Q4" s="40">
        <f>SUM($P$3:P4)</f>
        <v>0.1</v>
      </c>
      <c r="R4" s="42">
        <f>SUM($Q$3:Q3)</f>
        <v>0.05</v>
      </c>
      <c r="S4" s="40">
        <f>'Utility selection model'!E9</f>
        <v>0.1</v>
      </c>
      <c r="T4" s="40">
        <f>SUM($S$3:S4)</f>
        <v>0.1</v>
      </c>
      <c r="U4" s="40">
        <f>SUM($T$3:T3)</f>
        <v>0</v>
      </c>
    </row>
    <row r="5" spans="1:21" x14ac:dyDescent="0.2">
      <c r="H5" s="34"/>
      <c r="J5" s="40">
        <f>'Utility selection model'!B10/100</f>
        <v>0</v>
      </c>
      <c r="K5" s="40">
        <f t="shared" si="0"/>
        <v>0</v>
      </c>
      <c r="L5" s="40">
        <f t="shared" si="1"/>
        <v>0</v>
      </c>
      <c r="M5" s="40">
        <f>'Utility selection model'!C10</f>
        <v>0.2</v>
      </c>
      <c r="N5" s="40">
        <f>SUM($M$3:M5)</f>
        <v>0.5</v>
      </c>
      <c r="O5" s="40">
        <f>SUM($N$3:N4)</f>
        <v>0.4</v>
      </c>
      <c r="P5" s="40">
        <f>'Utility selection model'!D10</f>
        <v>0.1</v>
      </c>
      <c r="Q5" s="40">
        <f>SUM($P$3:P5)</f>
        <v>0.2</v>
      </c>
      <c r="R5" s="42">
        <f>SUM($Q$3:Q4)</f>
        <v>0.15000000000000002</v>
      </c>
      <c r="S5" s="40">
        <f>'Utility selection model'!E10</f>
        <v>0.1</v>
      </c>
      <c r="T5" s="40">
        <f>SUM($S$3:S5)</f>
        <v>0.2</v>
      </c>
      <c r="U5" s="40">
        <f>SUM($T$3:T4)</f>
        <v>0.1</v>
      </c>
    </row>
    <row r="6" spans="1:21" x14ac:dyDescent="0.2">
      <c r="A6" t="s">
        <v>34</v>
      </c>
      <c r="B6" t="s">
        <v>36</v>
      </c>
      <c r="C6" t="s">
        <v>37</v>
      </c>
      <c r="D6" t="s">
        <v>38</v>
      </c>
      <c r="E6" t="s">
        <v>41</v>
      </c>
      <c r="F6" t="s">
        <v>42</v>
      </c>
      <c r="H6" s="34"/>
      <c r="J6" s="40">
        <f>'Utility selection model'!B11/100</f>
        <v>0.05</v>
      </c>
      <c r="K6" s="40">
        <f t="shared" si="0"/>
        <v>4.8790164169432049E-2</v>
      </c>
      <c r="L6" s="40">
        <f t="shared" si="1"/>
        <v>2.5000000000000005E-3</v>
      </c>
      <c r="M6" s="40">
        <f>'Utility selection model'!C11</f>
        <v>0.25</v>
      </c>
      <c r="N6" s="40">
        <f>SUM($M$3:M6)</f>
        <v>0.75</v>
      </c>
      <c r="O6" s="40">
        <f>SUM($N$3:N5)</f>
        <v>0.9</v>
      </c>
      <c r="P6" s="40">
        <f>'Utility selection model'!D11</f>
        <v>0.2</v>
      </c>
      <c r="Q6" s="40">
        <f>SUM($P$3:P6)</f>
        <v>0.4</v>
      </c>
      <c r="R6" s="42">
        <f>SUM($Q$3:Q5)</f>
        <v>0.35000000000000003</v>
      </c>
      <c r="S6" s="40">
        <f>'Utility selection model'!E11</f>
        <v>0.2</v>
      </c>
      <c r="T6" s="40">
        <f>SUM($S$3:S6)</f>
        <v>0.4</v>
      </c>
      <c r="U6" s="40">
        <f>SUM($T$3:T5)</f>
        <v>0.30000000000000004</v>
      </c>
    </row>
    <row r="7" spans="1:21" x14ac:dyDescent="0.2">
      <c r="A7">
        <f>'Utility selection model'!B8</f>
        <v>-20</v>
      </c>
      <c r="B7">
        <f>'Utility selection model'!C8</f>
        <v>0.1</v>
      </c>
      <c r="C7">
        <f>'Utility selection model'!D8</f>
        <v>0.05</v>
      </c>
      <c r="D7">
        <f>'Utility selection model'!E8</f>
        <v>0</v>
      </c>
      <c r="E7" s="30">
        <f>'Utility selection model'!$B$19*SQRT('Utility selection model'!$B$22*(1+(Workings!A7/100)))</f>
        <v>400</v>
      </c>
      <c r="F7">
        <f>1-EXP(-'Utility selection model'!$B$24*('Utility selection model'!$B$22*(1+Workings!A7/100)))</f>
        <v>0.98168436111126578</v>
      </c>
      <c r="G7" s="30"/>
      <c r="H7" s="34"/>
      <c r="J7" s="40">
        <f>'Utility selection model'!B12/100</f>
        <v>0.1</v>
      </c>
      <c r="K7" s="40">
        <f t="shared" si="0"/>
        <v>9.5310179804324935E-2</v>
      </c>
      <c r="L7" s="40">
        <f t="shared" si="1"/>
        <v>1.0000000000000002E-2</v>
      </c>
      <c r="M7" s="40">
        <f>'Utility selection model'!C12</f>
        <v>0.15</v>
      </c>
      <c r="N7" s="40">
        <f>SUM($M$3:M7)</f>
        <v>0.9</v>
      </c>
      <c r="O7" s="40">
        <f>SUM($N$3:N6)</f>
        <v>1.65</v>
      </c>
      <c r="P7" s="40">
        <f>'Utility selection model'!D12</f>
        <v>0.3</v>
      </c>
      <c r="Q7" s="40">
        <f>SUM($P$3:P7)</f>
        <v>0.7</v>
      </c>
      <c r="R7" s="42">
        <f>SUM($Q$3:Q6)</f>
        <v>0.75</v>
      </c>
      <c r="S7" s="40">
        <f>'Utility selection model'!E12</f>
        <v>0.3</v>
      </c>
      <c r="T7" s="40">
        <f>SUM($S$3:S7)</f>
        <v>0.7</v>
      </c>
      <c r="U7" s="40">
        <f>SUM($T$3:T6)</f>
        <v>0.70000000000000007</v>
      </c>
    </row>
    <row r="8" spans="1:21" x14ac:dyDescent="0.2">
      <c r="A8">
        <f>'Utility selection model'!B9</f>
        <v>-10</v>
      </c>
      <c r="B8">
        <f>'Utility selection model'!C9</f>
        <v>0.2</v>
      </c>
      <c r="C8">
        <f>'Utility selection model'!D9</f>
        <v>0.05</v>
      </c>
      <c r="D8">
        <f>'Utility selection model'!E9</f>
        <v>0.1</v>
      </c>
      <c r="E8" s="30">
        <f>'Utility selection model'!$B$19*SQRT('Utility selection model'!$B$22*(1+(Workings!A8/100)))</f>
        <v>424.26406871192853</v>
      </c>
      <c r="F8">
        <f>1-EXP(-'Utility selection model'!$B$24*('Utility selection model'!$B$22*(1+Workings!A8/100)))</f>
        <v>0.98889100346175773</v>
      </c>
      <c r="H8" s="34"/>
      <c r="J8" s="40">
        <f>'Utility selection model'!B13/100</f>
        <v>0.3</v>
      </c>
      <c r="K8" s="40">
        <f t="shared" si="0"/>
        <v>0.26236426446749106</v>
      </c>
      <c r="L8" s="40">
        <f t="shared" si="1"/>
        <v>0.09</v>
      </c>
      <c r="M8" s="40">
        <f>'Utility selection model'!C13</f>
        <v>0.1</v>
      </c>
      <c r="N8" s="40">
        <f>SUM($M$3:M8)</f>
        <v>1</v>
      </c>
      <c r="O8" s="40">
        <f>SUM($N$3:N7)</f>
        <v>2.5499999999999998</v>
      </c>
      <c r="P8" s="40">
        <f>'Utility selection model'!D13</f>
        <v>0.3</v>
      </c>
      <c r="Q8" s="40">
        <f>SUM($P$3:P8)</f>
        <v>1</v>
      </c>
      <c r="R8" s="42">
        <f>SUM($Q$3:Q7)</f>
        <v>1.45</v>
      </c>
      <c r="S8" s="40">
        <f>'Utility selection model'!E13</f>
        <v>0.3</v>
      </c>
      <c r="T8" s="40">
        <f>SUM($S$3:S8)</f>
        <v>1</v>
      </c>
      <c r="U8" s="40">
        <f>SUM($T$3:T7)</f>
        <v>1.4</v>
      </c>
    </row>
    <row r="9" spans="1:21" x14ac:dyDescent="0.2">
      <c r="A9">
        <f>'Utility selection model'!B10</f>
        <v>0</v>
      </c>
      <c r="B9">
        <f>'Utility selection model'!C10</f>
        <v>0.2</v>
      </c>
      <c r="C9">
        <f>'Utility selection model'!D10</f>
        <v>0.1</v>
      </c>
      <c r="D9">
        <f>'Utility selection model'!E10</f>
        <v>0.1</v>
      </c>
      <c r="E9" s="30">
        <f>'Utility selection model'!$B$19*SQRT('Utility selection model'!$B$22*(1+(Workings!A9/100)))</f>
        <v>447.21359549995793</v>
      </c>
      <c r="F9">
        <f>1-EXP(-'Utility selection model'!$B$24*('Utility selection model'!$B$22*(1+Workings!A9/100)))</f>
        <v>0.99326205300091452</v>
      </c>
      <c r="H9" s="34"/>
    </row>
    <row r="10" spans="1:21" x14ac:dyDescent="0.2">
      <c r="A10">
        <f>'Utility selection model'!B11</f>
        <v>5</v>
      </c>
      <c r="B10">
        <f>'Utility selection model'!C11</f>
        <v>0.25</v>
      </c>
      <c r="C10">
        <f>'Utility selection model'!D11</f>
        <v>0.2</v>
      </c>
      <c r="D10">
        <f>'Utility selection model'!E11</f>
        <v>0.2</v>
      </c>
      <c r="E10" s="30">
        <f>'Utility selection model'!$B$19*SQRT('Utility selection model'!$B$22*(1+(Workings!A10/100)))</f>
        <v>458.25756949558399</v>
      </c>
      <c r="F10">
        <f>1-EXP(-'Utility selection model'!$B$24*('Utility selection model'!$B$22*(1+Workings!A10/100)))</f>
        <v>0.99475248160081864</v>
      </c>
      <c r="H10" s="34"/>
      <c r="J10" s="43" t="s">
        <v>13</v>
      </c>
      <c r="K10" s="43"/>
      <c r="L10" s="43" t="s">
        <v>62</v>
      </c>
      <c r="M10" s="43"/>
      <c r="N10" s="43" t="s">
        <v>14</v>
      </c>
      <c r="O10" s="43"/>
    </row>
    <row r="11" spans="1:21" x14ac:dyDescent="0.2">
      <c r="A11">
        <f>'Utility selection model'!B12</f>
        <v>10</v>
      </c>
      <c r="B11">
        <f>'Utility selection model'!C12</f>
        <v>0.15</v>
      </c>
      <c r="C11">
        <f>'Utility selection model'!D12</f>
        <v>0.3</v>
      </c>
      <c r="D11">
        <f>'Utility selection model'!E12</f>
        <v>0.3</v>
      </c>
      <c r="E11" s="30">
        <f>'Utility selection model'!$B$19*SQRT('Utility selection model'!$B$22*(1+(Workings!A11/100)))</f>
        <v>469.04157598234298</v>
      </c>
      <c r="F11">
        <f>1-EXP(-'Utility selection model'!$B$24*('Utility selection model'!$B$22*(1+Workings!A11/100)))</f>
        <v>0.99591322856153597</v>
      </c>
      <c r="H11" s="34"/>
      <c r="J11" t="s">
        <v>60</v>
      </c>
      <c r="K11" t="s">
        <v>61</v>
      </c>
      <c r="L11" t="s">
        <v>63</v>
      </c>
      <c r="M11" t="s">
        <v>61</v>
      </c>
      <c r="N11" t="s">
        <v>63</v>
      </c>
      <c r="O11" t="s">
        <v>61</v>
      </c>
    </row>
    <row r="12" spans="1:21" x14ac:dyDescent="0.2">
      <c r="A12">
        <f>'Utility selection model'!B13</f>
        <v>30</v>
      </c>
      <c r="B12">
        <f>'Utility selection model'!C13</f>
        <v>0.1</v>
      </c>
      <c r="C12">
        <f>'Utility selection model'!D13</f>
        <v>0.3</v>
      </c>
      <c r="D12">
        <f>'Utility selection model'!E13</f>
        <v>0.3</v>
      </c>
      <c r="E12" s="30">
        <f>'Utility selection model'!$B$19*SQRT('Utility selection model'!$B$22*(1+(Workings!A12/100)))</f>
        <v>509.90195135927848</v>
      </c>
      <c r="F12">
        <f>1-EXP(-'Utility selection model'!$B$24*('Utility selection model'!$B$22*(1+Workings!A12/100)))</f>
        <v>0.99849656080702243</v>
      </c>
      <c r="H12" s="34"/>
      <c r="J12">
        <f>N3-Q3</f>
        <v>0.05</v>
      </c>
      <c r="K12">
        <f>O3-R3</f>
        <v>0</v>
      </c>
      <c r="L12">
        <f>N3-T3</f>
        <v>0.1</v>
      </c>
      <c r="M12">
        <f>O3-U3</f>
        <v>0</v>
      </c>
      <c r="N12">
        <f>Q3-T3</f>
        <v>0.05</v>
      </c>
      <c r="O12">
        <f>R3-U3</f>
        <v>0</v>
      </c>
    </row>
    <row r="13" spans="1:21" x14ac:dyDescent="0.2">
      <c r="H13" s="34"/>
      <c r="J13">
        <f t="shared" ref="J13:J17" si="2">N4-Q4</f>
        <v>0.20000000000000004</v>
      </c>
      <c r="K13">
        <f t="shared" ref="K13:K17" si="3">O4-R4</f>
        <v>0.05</v>
      </c>
      <c r="L13">
        <f t="shared" ref="L13:L17" si="4">N4-T4</f>
        <v>0.20000000000000004</v>
      </c>
      <c r="M13">
        <f t="shared" ref="M13:M17" si="5">O4-U4</f>
        <v>0.1</v>
      </c>
      <c r="N13">
        <f t="shared" ref="N13:N17" si="6">Q4-T4</f>
        <v>0</v>
      </c>
      <c r="O13">
        <f t="shared" ref="O13:O17" si="7">R4-U4</f>
        <v>0.05</v>
      </c>
    </row>
    <row r="14" spans="1:21" x14ac:dyDescent="0.2">
      <c r="B14" s="44" t="s">
        <v>33</v>
      </c>
      <c r="C14" s="44"/>
      <c r="D14" s="44"/>
      <c r="F14" s="44" t="s">
        <v>43</v>
      </c>
      <c r="G14" s="44"/>
      <c r="H14" s="45"/>
      <c r="J14">
        <f t="shared" si="2"/>
        <v>0.3</v>
      </c>
      <c r="K14">
        <f t="shared" si="3"/>
        <v>0.25</v>
      </c>
      <c r="L14">
        <f t="shared" si="4"/>
        <v>0.3</v>
      </c>
      <c r="M14">
        <f t="shared" si="5"/>
        <v>0.30000000000000004</v>
      </c>
      <c r="N14">
        <f t="shared" si="6"/>
        <v>0</v>
      </c>
      <c r="O14">
        <f t="shared" si="7"/>
        <v>5.0000000000000017E-2</v>
      </c>
    </row>
    <row r="15" spans="1:21" x14ac:dyDescent="0.2">
      <c r="B15" t="s">
        <v>4</v>
      </c>
      <c r="C15" t="s">
        <v>5</v>
      </c>
      <c r="D15" t="s">
        <v>6</v>
      </c>
      <c r="F15" t="s">
        <v>4</v>
      </c>
      <c r="G15" t="s">
        <v>5</v>
      </c>
      <c r="H15" s="34" t="s">
        <v>6</v>
      </c>
      <c r="J15">
        <f t="shared" si="2"/>
        <v>0.35</v>
      </c>
      <c r="K15">
        <f t="shared" si="3"/>
        <v>0.55000000000000004</v>
      </c>
      <c r="L15">
        <f t="shared" si="4"/>
        <v>0.35</v>
      </c>
      <c r="M15">
        <f t="shared" si="5"/>
        <v>0.6</v>
      </c>
      <c r="N15">
        <f t="shared" si="6"/>
        <v>0</v>
      </c>
      <c r="O15">
        <f t="shared" si="7"/>
        <v>4.9999999999999989E-2</v>
      </c>
    </row>
    <row r="16" spans="1:21" ht="16" x14ac:dyDescent="0.2">
      <c r="A16" s="36" t="s">
        <v>35</v>
      </c>
      <c r="B16">
        <f>SUMPRODUCT(B7:B12,E7:E12)</f>
        <v>450.20635674955258</v>
      </c>
      <c r="C16">
        <f>SUMPRODUCT(C7:C12,E7:E12)</f>
        <v>471.26913508719542</v>
      </c>
      <c r="D16">
        <f>SUMPRODUCT(D7:D12,E7:E12)</f>
        <v>472.48233852279191</v>
      </c>
      <c r="F16">
        <f>SUMPRODUCT(B7:B12,$F7:$F12)</f>
        <v>0.99252380816879837</v>
      </c>
      <c r="G16">
        <f>SUMPRODUCT(C7:C12,$F7:$F12)</f>
        <v>0.99512840665947389</v>
      </c>
      <c r="H16" s="34">
        <f>SUMPRODUCT(D7:D12,$F7:$F12)</f>
        <v>0.99548873877699839</v>
      </c>
      <c r="J16">
        <f t="shared" si="2"/>
        <v>0.20000000000000007</v>
      </c>
      <c r="K16">
        <f t="shared" si="3"/>
        <v>0.89999999999999991</v>
      </c>
      <c r="L16">
        <f t="shared" si="4"/>
        <v>0.20000000000000007</v>
      </c>
      <c r="M16">
        <f t="shared" si="5"/>
        <v>0.94999999999999984</v>
      </c>
      <c r="N16">
        <f t="shared" si="6"/>
        <v>0</v>
      </c>
      <c r="O16">
        <f t="shared" si="7"/>
        <v>4.9999999999999933E-2</v>
      </c>
    </row>
    <row r="17" spans="1:15" x14ac:dyDescent="0.2">
      <c r="A17" s="29" t="s">
        <v>39</v>
      </c>
      <c r="B17">
        <f>((B16/('Utility selection model'!$B$19))^2)</f>
        <v>50671.440914426355</v>
      </c>
      <c r="C17">
        <f>(C16/('Utility selection model'!$B$19))^2</f>
        <v>55523.649421458314</v>
      </c>
      <c r="D17">
        <f>(D16/'Utility selection model'!$B$19)^2</f>
        <v>55809.890053991534</v>
      </c>
      <c r="F17">
        <f>-LN(1-F16)/'Utility selection model'!$B$24</f>
        <v>48960.31730113738</v>
      </c>
      <c r="G17">
        <f>-LN(1-G16)/'Utility selection model'!$B$24</f>
        <v>53243.342207515729</v>
      </c>
      <c r="H17" s="34">
        <f>-LN(1-H16)/'Utility selection model'!$B$24</f>
        <v>54011.785142294655</v>
      </c>
      <c r="J17">
        <f t="shared" si="2"/>
        <v>0</v>
      </c>
      <c r="K17">
        <f t="shared" si="3"/>
        <v>1.0999999999999999</v>
      </c>
      <c r="L17">
        <f t="shared" si="4"/>
        <v>0</v>
      </c>
      <c r="M17">
        <f t="shared" si="5"/>
        <v>1.1499999999999999</v>
      </c>
      <c r="N17">
        <f t="shared" si="6"/>
        <v>0</v>
      </c>
      <c r="O17">
        <f t="shared" si="7"/>
        <v>5.0000000000000044E-2</v>
      </c>
    </row>
    <row r="18" spans="1:15" x14ac:dyDescent="0.2">
      <c r="A18" s="31" t="s">
        <v>40</v>
      </c>
      <c r="B18" s="32">
        <f>-'Utility selection model'!$B$22+Workings!B17</f>
        <v>671.44091442635545</v>
      </c>
      <c r="C18" s="32">
        <f>-'Utility selection model'!$B$22+Workings!C17</f>
        <v>5523.6494214583145</v>
      </c>
      <c r="D18" s="32">
        <f>-'Utility selection model'!$B$22+Workings!D17</f>
        <v>5809.8900539915339</v>
      </c>
      <c r="E18" s="25"/>
      <c r="F18" s="33">
        <f>Workings!F17-'Utility selection model'!$B$22</f>
        <v>-1039.6826988626199</v>
      </c>
      <c r="G18" s="33">
        <f>Workings!G17-'Utility selection model'!$B$22</f>
        <v>3243.3422075157287</v>
      </c>
      <c r="H18" s="35">
        <f>Workings!H17-'Utility selection model'!$B$22</f>
        <v>4011.7851422946551</v>
      </c>
      <c r="J18" t="str" cm="1">
        <f t="array" ref="J18">_xlfn.IFS(AND(MAX(J12:J17)&lt;=0, MIN(J12:J17)&lt;0), "A",
  AND(MIN(J12:J17)&gt;=0, MAX(J12:J17)&gt;0), "B",
  TRUE, "no preference")</f>
        <v>B</v>
      </c>
      <c r="K18" t="str" cm="1">
        <f t="array" ref="K18">_xlfn.IFS(AND(MAX(K12:K17)&lt;=0, MIN(K12:K17)&lt;0), "A",
  AND(MIN(K12:K17)&gt;=0, MAX(K12:K17)&gt;0), "B",
  TRUE, "no preference")</f>
        <v>B</v>
      </c>
      <c r="L18" t="str" cm="1">
        <f t="array" ref="L18">_xlfn.IFS(AND(MAX(L12:L17)&lt;=0, MIN(L12:L17)&lt;0), "A",
  AND(MIN(L12:L17)&gt;=0, MAX(L12:L17)&gt;0), "C",
  TRUE, "no preference")</f>
        <v>C</v>
      </c>
      <c r="M18" t="str" cm="1">
        <f t="array" ref="M18">_xlfn.IFS(AND(MAX(M12:M17)&lt;=0, MIN(M12:M17)&lt;0), "A",
  AND(MIN(M12:M17)&gt;=0, MAX(M12:M17)&gt;0), "C",
  TRUE, "no preference")</f>
        <v>C</v>
      </c>
      <c r="N18" t="str" cm="1">
        <f t="array" ref="N18">_xlfn.IFS(AND(MAX(N12:N17)&lt;=0, MIN(N12:N17)&lt;0), "B",
  AND(MIN(N12:N17)&gt;=0, MAX(N12:N17)&gt;0), "C",
  TRUE, "no preference")</f>
        <v>C</v>
      </c>
      <c r="O18" t="str" cm="1">
        <f t="array" ref="O18">_xlfn.IFS(AND(MAX(O12:O17)&lt;=0, MIN(O12:O17)&lt;0), "B",
  AND(MIN(O12:O17)&gt;=0, MAX(O12:O17)&gt;0), "C",
  TRUE, "no preference")</f>
        <v>C</v>
      </c>
    </row>
    <row r="20" spans="1:15" ht="19" x14ac:dyDescent="0.25">
      <c r="B20" s="46" t="s">
        <v>44</v>
      </c>
      <c r="C20" s="46"/>
      <c r="D20" s="46"/>
      <c r="E20" s="46"/>
      <c r="F20" s="46"/>
    </row>
    <row r="21" spans="1:15" x14ac:dyDescent="0.2">
      <c r="C21" t="s">
        <v>4</v>
      </c>
      <c r="D21" t="s">
        <v>5</v>
      </c>
      <c r="E21" t="s">
        <v>6</v>
      </c>
      <c r="J21" t="s">
        <v>64</v>
      </c>
      <c r="K21" t="s">
        <v>65</v>
      </c>
      <c r="L21" t="s">
        <v>66</v>
      </c>
    </row>
    <row r="22" spans="1:15" x14ac:dyDescent="0.2">
      <c r="A22" t="s">
        <v>17</v>
      </c>
      <c r="B22" t="s">
        <v>45</v>
      </c>
      <c r="C22" s="37" t="s">
        <v>46</v>
      </c>
      <c r="D22" s="37" t="s">
        <v>46</v>
      </c>
      <c r="E22" s="37" t="s">
        <v>46</v>
      </c>
      <c r="J22">
        <f>SUMPRODUCT(J3:J8,M3:M8)</f>
        <v>1.7499999999999991E-2</v>
      </c>
      <c r="K22">
        <f>SUMPRODUCT(J3:J8,P3:P8)</f>
        <v>0.11499999999999999</v>
      </c>
      <c r="L22">
        <f>SUMPRODUCT(J3:J8,S3:S8)</f>
        <v>0.12</v>
      </c>
    </row>
    <row r="23" spans="1:15" x14ac:dyDescent="0.2">
      <c r="A23">
        <f>'Utility selection model'!B8</f>
        <v>-20</v>
      </c>
      <c r="B23">
        <f>LN(1+A23/100)</f>
        <v>-0.22314355131420971</v>
      </c>
      <c r="C23">
        <f>SUMPRODUCT(B7:B12,B23:B28)</f>
        <v>9.3440361967696249E-3</v>
      </c>
      <c r="D23">
        <f>SUMPRODUCT(C7:C12,B23:B28)</f>
        <v>0.10063516276682941</v>
      </c>
      <c r="E23">
        <f>SUMPRODUCT(D7:D12,B23:B28)</f>
        <v>0.10652431454964857</v>
      </c>
    </row>
    <row r="24" spans="1:15" x14ac:dyDescent="0.2">
      <c r="A24">
        <f>'Utility selection model'!B9</f>
        <v>-10</v>
      </c>
      <c r="B24">
        <f t="shared" ref="B24:B28" si="8">LN(1+A24/100)</f>
        <v>-0.10536051565782628</v>
      </c>
      <c r="J24" t="s">
        <v>67</v>
      </c>
      <c r="K24" t="s">
        <v>68</v>
      </c>
      <c r="L24" t="s">
        <v>69</v>
      </c>
    </row>
    <row r="25" spans="1:15" x14ac:dyDescent="0.2">
      <c r="A25">
        <f>'Utility selection model'!B10</f>
        <v>0</v>
      </c>
      <c r="B25">
        <f t="shared" si="8"/>
        <v>0</v>
      </c>
      <c r="C25" s="28" t="s">
        <v>47</v>
      </c>
      <c r="D25" s="28" t="s">
        <v>47</v>
      </c>
      <c r="E25" s="28" t="s">
        <v>47</v>
      </c>
      <c r="J25">
        <f>SUMPRODUCT(L3:L8,M3:M8)-(J22^2)</f>
        <v>1.681875E-2</v>
      </c>
      <c r="K25">
        <f>SUMPRODUCT(L3:L8,N3:N8)-(K22^2)</f>
        <v>9.4649999999999998E-2</v>
      </c>
      <c r="L25">
        <f>SUMPRODUCT(L3:L8,S3:S8)-(L22^2)</f>
        <v>1.7100000000000001E-2</v>
      </c>
    </row>
    <row r="26" spans="1:15" x14ac:dyDescent="0.2">
      <c r="A26">
        <f>'Utility selection model'!B11</f>
        <v>5</v>
      </c>
      <c r="B26">
        <f t="shared" si="8"/>
        <v>4.8790164169432049E-2</v>
      </c>
      <c r="C26" s="38">
        <f>EXP(C23)-1</f>
        <v>9.3878279940979859E-3</v>
      </c>
      <c r="D26" s="38">
        <f>EXP(D23)-1</f>
        <v>0.10587310447151199</v>
      </c>
      <c r="E26" s="38">
        <f>EXP(E23)-1</f>
        <v>0.11240497374282521</v>
      </c>
    </row>
    <row r="27" spans="1:15" x14ac:dyDescent="0.2">
      <c r="A27">
        <f>'Utility selection model'!B12</f>
        <v>10</v>
      </c>
      <c r="B27">
        <f t="shared" si="8"/>
        <v>9.5310179804324935E-2</v>
      </c>
      <c r="J27" t="s">
        <v>13</v>
      </c>
      <c r="K27" t="s">
        <v>62</v>
      </c>
      <c r="L27" t="s">
        <v>70</v>
      </c>
    </row>
    <row r="28" spans="1:15" x14ac:dyDescent="0.2">
      <c r="A28">
        <f>'Utility selection model'!B13</f>
        <v>30</v>
      </c>
      <c r="B28">
        <f t="shared" si="8"/>
        <v>0.26236426446749106</v>
      </c>
      <c r="J28" t="str" cm="1">
        <f t="array" ref="J28">_xlfn.IFS(
   AND(J22&gt;=K22, J25&lt;=K25, OR(J22&gt;K22, J25&lt;K25)), "A",
   AND(K22&gt;=J22, K25&lt;=J25, OR(K22&gt;J22, K25&lt;J25)), "B",
   TRUE, "no preference"
)</f>
        <v>no preference</v>
      </c>
      <c r="K28" t="str" cm="1">
        <f t="array" ref="K28">_xlfn.IFS(
   AND(J22&gt;=L22, J25&lt;=L25, OR(J22&gt;L22, J25&lt;L25)), "A",
   AND(L22&gt;=J22, L25&lt;=J25, OR(L22&gt;J22, L25&lt;J25)), "C",
   TRUE, "no preference"
)</f>
        <v>no preference</v>
      </c>
      <c r="L28" t="str" cm="1">
        <f t="array" ref="L28">_xlfn.IFS(
   AND(K22&gt;=L22, K25&lt;=L25, OR(K22&gt;L22, K25&lt;L25)), "B",
   AND(L22&gt;=K22, L25&lt;=K25, OR(L22&gt;K22, L25&lt;K25)), "C",
   TRUE, "no preference"
)</f>
        <v>C</v>
      </c>
    </row>
  </sheetData>
  <mergeCells count="6">
    <mergeCell ref="N10:O10"/>
    <mergeCell ref="B14:D14"/>
    <mergeCell ref="F14:H14"/>
    <mergeCell ref="B20:F20"/>
    <mergeCell ref="J10:K10"/>
    <mergeCell ref="L10:M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Utility selection model</vt:lpstr>
      <vt:lpstr>Workings</vt:lpstr>
    </vt:vector>
  </TitlesOfParts>
  <Company>The University of Melbourne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 Joshi</dc:creator>
  <cp:lastModifiedBy>Hart Louie D</cp:lastModifiedBy>
  <dcterms:created xsi:type="dcterms:W3CDTF">2010-02-18T23:13:47Z</dcterms:created>
  <dcterms:modified xsi:type="dcterms:W3CDTF">2026-03-05T02:53:36Z</dcterms:modified>
</cp:coreProperties>
</file>