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9"/>
  <workbookPr codeName="ThisWorkbook" defaultThemeVersion="124226"/>
  <mc:AlternateContent xmlns:mc="http://schemas.openxmlformats.org/markup-compatibility/2006">
    <mc:Choice Requires="x15">
      <x15ac:absPath xmlns:x15ac="http://schemas.microsoft.com/office/spreadsheetml/2010/11/ac" url="/Users/louiehart/Documents/CV/projects/"/>
    </mc:Choice>
  </mc:AlternateContent>
  <xr:revisionPtr revIDLastSave="0" documentId="13_ncr:1_{B3A56A01-66F0-3646-9365-DE4F21852BE6}" xr6:coauthVersionLast="47" xr6:coauthVersionMax="47" xr10:uidLastSave="{00000000-0000-0000-0000-000000000000}"/>
  <bookViews>
    <workbookView xWindow="0" yWindow="720" windowWidth="29400" windowHeight="18400" xr2:uid="{00000000-000D-0000-FFFF-FFFF00000000}"/>
  </bookViews>
  <sheets>
    <sheet name="Model" sheetId="10" r:id="rId1"/>
    <sheet name="Placeholder cells" sheetId="1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11" l="1"/>
  <c r="C12" i="11"/>
  <c r="C13" i="11"/>
  <c r="C14" i="11"/>
  <c r="C15" i="11"/>
  <c r="C10" i="11"/>
  <c r="E15" i="10"/>
  <c r="E16" i="10"/>
  <c r="C3" i="11"/>
  <c r="C4" i="11"/>
  <c r="C5" i="11"/>
  <c r="C6" i="11"/>
  <c r="C7" i="11"/>
  <c r="C2" i="11"/>
  <c r="A3" i="11"/>
  <c r="A4" i="11"/>
  <c r="A5" i="11"/>
  <c r="A6" i="11"/>
  <c r="A7" i="11"/>
  <c r="A2" i="11"/>
  <c r="I19" i="10"/>
  <c r="H19" i="10"/>
  <c r="G19" i="10"/>
  <c r="F19" i="10"/>
  <c r="E19" i="10"/>
  <c r="H18" i="10"/>
  <c r="G18" i="10"/>
  <c r="F18" i="10"/>
  <c r="E18" i="10"/>
  <c r="G17" i="10"/>
  <c r="F17" i="10"/>
  <c r="E17" i="10"/>
  <c r="F16" i="10"/>
  <c r="A24" i="11" l="1" a="1"/>
  <c r="A24" i="11" s="1"/>
  <c r="N10" i="11" s="1" a="1"/>
  <c r="N10" i="11" s="1"/>
  <c r="L10" i="11" l="1" a="1"/>
  <c r="L10" i="11" s="1"/>
  <c r="M10" i="11" a="1"/>
  <c r="M10" i="11" s="1"/>
  <c r="E2" i="11" a="1"/>
  <c r="E2" i="11" s="1"/>
  <c r="E10" i="11" a="1"/>
  <c r="A27" i="10" a="1"/>
  <c r="A27" i="10" s="1"/>
  <c r="A39" i="10" s="1" a="1"/>
  <c r="A39" i="10" s="1"/>
  <c r="O10" i="11" l="1"/>
  <c r="L13" i="11" s="1"/>
  <c r="M13" i="11" s="1" a="1"/>
  <c r="M13" i="11" s="1"/>
  <c r="E10" i="11"/>
  <c r="I2" i="11" s="1"/>
  <c r="G2" i="11"/>
  <c r="A36" i="10"/>
  <c r="G4" i="11"/>
  <c r="G7" i="11"/>
  <c r="G6" i="11"/>
  <c r="G5" i="11"/>
  <c r="G3" i="11"/>
  <c r="M19" i="11" l="1"/>
  <c r="I4" i="11"/>
  <c r="I5" i="11"/>
  <c r="I6" i="11"/>
  <c r="I7" i="11"/>
  <c r="I3" i="11"/>
  <c r="G13" i="11"/>
  <c r="G10" i="11" a="1"/>
  <c r="G10" i="11" s="1"/>
  <c r="N2" i="11" l="1"/>
  <c r="I10" i="11" a="1"/>
  <c r="I10" i="11" s="1"/>
  <c r="E27" i="10" s="1"/>
  <c r="I13" i="11"/>
  <c r="L2" i="11" s="1"/>
  <c r="G19" i="11"/>
  <c r="G16" i="11"/>
  <c r="E30" i="10" l="1"/>
  <c r="E32" i="10"/>
  <c r="E31" i="10"/>
  <c r="E29" i="10"/>
  <c r="E28" i="10"/>
  <c r="O2" i="11"/>
  <c r="N5" i="11"/>
  <c r="E39" i="10"/>
  <c r="L3" i="11"/>
  <c r="I19" i="11"/>
  <c r="G21" i="11"/>
  <c r="O5" i="11" l="1"/>
  <c r="E33" i="10" s="1"/>
  <c r="I21" i="11"/>
  <c r="C33" i="10" s="1"/>
  <c r="C39" i="10"/>
  <c r="C28" i="10"/>
  <c r="C31" i="10"/>
  <c r="C27" i="10"/>
  <c r="C32" i="10"/>
  <c r="C29" i="10"/>
  <c r="C30" i="10"/>
  <c r="E36" i="10" l="1"/>
  <c r="C3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tc={DD43B642-5187-A04E-B494-76B467A240C8}</author>
  </authors>
  <commentList>
    <comment ref="K1" authorId="0" shapeId="0" xr:uid="{DD43B642-5187-A04E-B494-76B467A240C8}">
      <text>
        <t xml:space="preserve">[Threaded comment]
Your version of Excel allows you to read this threaded comment; however, any edits to it will get removed if the file is opened in a newer version of Excel. Learn more: https://go.microsoft.com/fwlink/?linkid=870924
Comment:
    I have modelled the section between the two tangent points as linear as graphically that appears to be a good approximation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<sst xmlns="http://schemas.openxmlformats.org/spreadsheetml/2006/main" count="65" uniqueCount="56">
  <si>
    <t>Labels</t>
  </si>
  <si>
    <t>Inputs</t>
  </si>
  <si>
    <t>Outputs</t>
  </si>
  <si>
    <t>Intermediate calculations</t>
  </si>
  <si>
    <t>Lending Rate</t>
  </si>
  <si>
    <t>Borrowing Rate</t>
  </si>
  <si>
    <t>Expected returns</t>
  </si>
  <si>
    <t>Standard deviations</t>
  </si>
  <si>
    <t>Correlation matrix</t>
  </si>
  <si>
    <t>Desired return</t>
  </si>
  <si>
    <t>Desired standard deviation</t>
  </si>
  <si>
    <t>Minimal variance portfolio</t>
  </si>
  <si>
    <t>weights</t>
  </si>
  <si>
    <t>Weights</t>
  </si>
  <si>
    <t>Risk free</t>
  </si>
  <si>
    <t>Expected Return</t>
  </si>
  <si>
    <t>Standard deviation</t>
  </si>
  <si>
    <t>e</t>
  </si>
  <si>
    <t>C</t>
  </si>
  <si>
    <t>B</t>
  </si>
  <si>
    <t>sd of tangent portfolio</t>
  </si>
  <si>
    <t xml:space="preserve">Expected Return </t>
  </si>
  <si>
    <t>Tangent Weights (lending)</t>
  </si>
  <si>
    <t>proportion in T1</t>
  </si>
  <si>
    <t>proportion in riskfree asset</t>
  </si>
  <si>
    <t>Tangent Weights (borrowing)</t>
  </si>
  <si>
    <t>R˜ (lending)</t>
  </si>
  <si>
    <t>R˜ Borrowing)</t>
  </si>
  <si>
    <t>y (lending)</t>
  </si>
  <si>
    <t>y (borrowing)</t>
  </si>
  <si>
    <t>sd of tangent portfolio (borrowing)</t>
  </si>
  <si>
    <t>Efficient Slope</t>
  </si>
  <si>
    <t>efficient Slope</t>
  </si>
  <si>
    <t>Proportion in T2</t>
  </si>
  <si>
    <t>Tangent weights (mix)</t>
  </si>
  <si>
    <t>T1 Proportion</t>
  </si>
  <si>
    <t xml:space="preserve">T2 Proportion </t>
  </si>
  <si>
    <t>weight</t>
  </si>
  <si>
    <t>z (proportion in T1)</t>
  </si>
  <si>
    <t>1-z</t>
  </si>
  <si>
    <t>z2 (proportion in T2)</t>
  </si>
  <si>
    <t>1-z2</t>
  </si>
  <si>
    <t>A</t>
  </si>
  <si>
    <t>C_0</t>
  </si>
  <si>
    <t>delta</t>
  </si>
  <si>
    <t>R</t>
  </si>
  <si>
    <t>w®</t>
  </si>
  <si>
    <t>Security 1</t>
  </si>
  <si>
    <t>Security 2</t>
  </si>
  <si>
    <t>Security 3</t>
  </si>
  <si>
    <t>Security 4</t>
  </si>
  <si>
    <t>Security 5</t>
  </si>
  <si>
    <t>Security 6</t>
  </si>
  <si>
    <t>Output Headings</t>
  </si>
  <si>
    <t>Model Description</t>
  </si>
  <si>
    <t>The adjacent model has been built to cater to various risk-return preferences for maximal utility. Using modern portfolio theory and mean-variance analysis, the model allows the user to input various parameters (in yellow) relating to 6 securities or stocks as well as pick a desired return and standard deviation that the user would require from their portfolio. The model has been built to allow for short selling (using the lending rate) as well as leveraging (using the borrowing rate). The model gives three different outputted portfolios (As shown in Orange) that the user can then refer to when constructing their portfolio.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</si>
</sst>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
    <numFmt numFmtId="165" formatCode="0.0000"/>
    <numFmt numFmtId="166" formatCode="0.000"/>
  </numFmts>
  <fonts count="5" x14ac:knownFonts="1">
    <font>
      <sz val="11"/>
      <color theme="1"/>
      <name val="Calibri"/>
      <family val="2"/>
      <scheme val="minor"/>
    </font>
    <font>
      <b/>
      <sz val="11"/>
      <color theme="1"/>
      <name val="Calibri"/>
      <family val="2"/>
      <scheme val="minor"/>
    </font>
    <font>
      <b/>
      <sz val="14"/>
      <color theme="1"/>
      <name val="Calibri"/>
      <family val="2"/>
      <scheme val="minor"/>
    </font>
    <font>
      <b/>
      <u/>
      <sz val="20"/>
      <color theme="1"/>
      <name val="Calibri"/>
      <family val="2"/>
      <scheme val="minor"/>
    </font>
    <font>
      <b/>
      <sz val="13"/>
      <color theme="1"/>
      <name val="Calibri"/>
      <family val="2"/>
      <scheme val="minor"/>
    </font>
  </fonts>
  <fills count="8">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00B0F0"/>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rgb="FFFFA900"/>
        <bgColor indexed="64"/>
      </patternFill>
    </fill>
  </fills>
  <borders count="1">
    <border>
      <left/>
      <right/>
      <top/>
      <bottom/>
      <diagonal/>
    </border>
  </borders>
  <cellStyleXfs count="1">
    <xf numFmtId="0" fontId="0" fillId="0" borderId="0"/>
  </cellStyleXfs>
  <cellXfs count="25">
    <xf numFmtId="0" fontId="0" fillId="0" borderId="0" xfId="0"/>
    <xf numFmtId="0" fontId="0" fillId="6" borderId="0" xfId="0" applyFill="1" applyAlignment="1">
      <alignment horizontal="center"/>
    </xf>
    <xf numFmtId="0" fontId="0" fillId="2" borderId="0" xfId="0" applyFill="1"/>
    <xf numFmtId="0" fontId="0" fillId="3" borderId="0" xfId="0" applyFill="1"/>
    <xf numFmtId="0" fontId="0" fillId="3" borderId="0" xfId="0" applyFill="1" applyAlignment="1">
      <alignment horizontal="center"/>
    </xf>
    <xf numFmtId="0" fontId="0" fillId="4" borderId="0" xfId="0" applyFill="1"/>
    <xf numFmtId="0" fontId="0" fillId="4" borderId="0" xfId="0" applyFill="1" applyAlignment="1">
      <alignment horizontal="center"/>
    </xf>
    <xf numFmtId="0" fontId="0" fillId="0" borderId="0" xfId="0" applyAlignment="1">
      <alignment horizontal="center"/>
    </xf>
    <xf numFmtId="0" fontId="0" fillId="5" borderId="0" xfId="0" applyFill="1"/>
    <xf numFmtId="0" fontId="0" fillId="5" borderId="0" xfId="0" applyFill="1" applyAlignment="1">
      <alignment horizontal="center"/>
    </xf>
    <xf numFmtId="2" fontId="0" fillId="0" borderId="0" xfId="0" applyNumberFormat="1"/>
    <xf numFmtId="165" fontId="0" fillId="0" borderId="0" xfId="0" applyNumberFormat="1"/>
    <xf numFmtId="0" fontId="0" fillId="2" borderId="0" xfId="0" applyFill="1" applyAlignment="1">
      <alignment horizontal="center"/>
    </xf>
    <xf numFmtId="164" fontId="0" fillId="0" borderId="0" xfId="0" applyNumberFormat="1"/>
    <xf numFmtId="166" fontId="0" fillId="0" borderId="0" xfId="0" applyNumberFormat="1"/>
    <xf numFmtId="165" fontId="0" fillId="4" borderId="0" xfId="0" applyNumberFormat="1" applyFill="1" applyAlignment="1">
      <alignment horizontal="center"/>
    </xf>
    <xf numFmtId="0" fontId="0" fillId="7" borderId="0" xfId="0" applyFill="1"/>
    <xf numFmtId="0" fontId="1" fillId="7" borderId="0" xfId="0" applyFont="1" applyFill="1"/>
    <xf numFmtId="164" fontId="1" fillId="4" borderId="0" xfId="0" applyNumberFormat="1" applyFont="1" applyFill="1" applyAlignment="1">
      <alignment horizontal="center"/>
    </xf>
    <xf numFmtId="0" fontId="1" fillId="4" borderId="0" xfId="0" applyFont="1" applyFill="1" applyAlignment="1">
      <alignment horizontal="center"/>
    </xf>
    <xf numFmtId="0" fontId="1" fillId="2" borderId="0" xfId="0" applyFont="1" applyFill="1"/>
    <xf numFmtId="0" fontId="0" fillId="0" borderId="0" xfId="0" applyAlignment="1">
      <alignment wrapText="1"/>
    </xf>
    <xf numFmtId="0" fontId="3" fillId="0" borderId="0" xfId="0" applyFont="1" applyAlignment="1">
      <alignment horizontal="center"/>
    </xf>
    <xf numFmtId="0" fontId="2" fillId="0" borderId="0" xfId="0" applyFont="1" applyAlignment="1">
      <alignment vertical="top" wrapText="1"/>
    </xf>
    <xf numFmtId="0" fontId="4" fillId="0" borderId="0" xfId="0" applyFont="1" applyAlignment="1">
      <alignment horizontal="center" vertical="top" wrapText="1"/>
    </xf>
  </cellXfs>
  <cellStyles count="1">
    <cellStyle name="Normal" xfId="0" builtinId="0"/>
  </cellStyles>
  <dxfs count="0"/>
  <tableStyles count="0" defaultTableStyle="TableStyleMedium9" defaultPivotStyle="PivotStyleLight16"/>
  <colors>
    <mruColors>
      <color rgb="FFFFA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Hart Louie D" id="{01D9DC2A-245F-6742-B384-E1F280ACBF86}" userId="S::louie.hart@bishops.org.za::0da1cc6d-9859-4a12-980f-b98f82340f82"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1" dT="2025-08-30T04:26:16.07" personId="{01D9DC2A-245F-6742-B384-E1F280ACBF86}" id="{DD43B642-5187-A04E-B494-76B467A240C8}">
    <text xml:space="preserve">I have modelled the section between the two tangent points as linear as graphically that appears to be a good approximation
</text>
  </threadedComment>
</ThreadedComment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F3302-116A-5149-8ED2-BFCE7AE380C6}">
  <sheetPr codeName="Sheet1"/>
  <dimension ref="A1:R39"/>
  <sheetViews>
    <sheetView tabSelected="1" workbookViewId="0">
      <selection activeCell="H39" sqref="H39"/>
    </sheetView>
  </sheetViews>
  <sheetFormatPr baseColWidth="10" defaultColWidth="9.1640625" defaultRowHeight="15" x14ac:dyDescent="0.2"/>
  <cols>
    <col min="1" max="1" width="25.33203125" bestFit="1" customWidth="1"/>
    <col min="2" max="2" width="14.33203125" customWidth="1"/>
    <col min="3" max="3" width="18.83203125" bestFit="1" customWidth="1"/>
    <col min="5" max="5" width="9.5" customWidth="1"/>
    <col min="18" max="18" width="10.6640625" bestFit="1" customWidth="1"/>
    <col min="19" max="19" width="9.5" bestFit="1" customWidth="1"/>
  </cols>
  <sheetData>
    <row r="1" spans="1:18" x14ac:dyDescent="0.2">
      <c r="A1" s="2"/>
      <c r="B1" t="s">
        <v>0</v>
      </c>
    </row>
    <row r="2" spans="1:18" ht="15" customHeight="1" x14ac:dyDescent="0.2">
      <c r="A2" s="3"/>
      <c r="B2" t="s">
        <v>1</v>
      </c>
      <c r="K2" s="7"/>
      <c r="M2" s="21"/>
      <c r="N2" s="21"/>
      <c r="O2" s="21"/>
      <c r="P2" s="21"/>
      <c r="Q2" s="7"/>
    </row>
    <row r="3" spans="1:18" ht="26" x14ac:dyDescent="0.3">
      <c r="A3" s="5"/>
      <c r="B3" t="s">
        <v>2</v>
      </c>
      <c r="M3" s="22" t="s">
        <v>54</v>
      </c>
      <c r="N3" s="22"/>
      <c r="O3" s="22"/>
      <c r="P3" s="22"/>
      <c r="R3" s="11"/>
    </row>
    <row r="4" spans="1:18" ht="15" customHeight="1" x14ac:dyDescent="0.2">
      <c r="A4" s="8"/>
      <c r="B4" t="s">
        <v>3</v>
      </c>
      <c r="L4" s="24" t="s">
        <v>55</v>
      </c>
      <c r="M4" s="24"/>
      <c r="N4" s="24"/>
      <c r="O4" s="24"/>
      <c r="P4" s="24"/>
      <c r="Q4" s="24"/>
    </row>
    <row r="5" spans="1:18" ht="15" customHeight="1" x14ac:dyDescent="0.2">
      <c r="A5" s="16"/>
      <c r="B5" t="s">
        <v>53</v>
      </c>
      <c r="L5" s="24"/>
      <c r="M5" s="24"/>
      <c r="N5" s="24"/>
      <c r="O5" s="24"/>
      <c r="P5" s="24"/>
      <c r="Q5" s="24"/>
    </row>
    <row r="6" spans="1:18" ht="15" customHeight="1" x14ac:dyDescent="0.2">
      <c r="L6" s="24"/>
      <c r="M6" s="24"/>
      <c r="N6" s="24"/>
      <c r="O6" s="24"/>
      <c r="P6" s="24"/>
      <c r="Q6" s="24"/>
    </row>
    <row r="7" spans="1:18" ht="15" customHeight="1" x14ac:dyDescent="0.2">
      <c r="L7" s="24"/>
      <c r="M7" s="24"/>
      <c r="N7" s="24"/>
      <c r="O7" s="24"/>
      <c r="P7" s="24"/>
      <c r="Q7" s="24"/>
    </row>
    <row r="8" spans="1:18" ht="15" customHeight="1" x14ac:dyDescent="0.2">
      <c r="L8" s="24"/>
      <c r="M8" s="24"/>
      <c r="N8" s="24"/>
      <c r="O8" s="24"/>
      <c r="P8" s="24"/>
      <c r="Q8" s="24"/>
    </row>
    <row r="9" spans="1:18" ht="15" customHeight="1" x14ac:dyDescent="0.2">
      <c r="L9" s="24"/>
      <c r="M9" s="24"/>
      <c r="N9" s="24"/>
      <c r="O9" s="24"/>
      <c r="P9" s="24"/>
      <c r="Q9" s="24"/>
    </row>
    <row r="10" spans="1:18" ht="15" customHeight="1" x14ac:dyDescent="0.2">
      <c r="B10" s="2" t="s">
        <v>4</v>
      </c>
      <c r="C10" s="4">
        <v>2</v>
      </c>
      <c r="L10" s="24"/>
      <c r="M10" s="24"/>
      <c r="N10" s="24"/>
      <c r="O10" s="24"/>
      <c r="P10" s="24"/>
      <c r="Q10" s="24"/>
    </row>
    <row r="11" spans="1:18" ht="15" customHeight="1" x14ac:dyDescent="0.2">
      <c r="B11" s="2" t="s">
        <v>5</v>
      </c>
      <c r="C11" s="4">
        <v>8</v>
      </c>
      <c r="L11" s="24"/>
      <c r="M11" s="24"/>
      <c r="N11" s="24"/>
      <c r="O11" s="24"/>
      <c r="P11" s="24"/>
      <c r="Q11" s="24"/>
    </row>
    <row r="12" spans="1:18" ht="15" customHeight="1" x14ac:dyDescent="0.2">
      <c r="L12" s="24"/>
      <c r="M12" s="24"/>
      <c r="N12" s="24"/>
      <c r="O12" s="24"/>
      <c r="P12" s="24"/>
      <c r="Q12" s="24"/>
    </row>
    <row r="13" spans="1:18" ht="15" customHeight="1" x14ac:dyDescent="0.2">
      <c r="B13" s="2" t="s">
        <v>6</v>
      </c>
      <c r="C13" s="2" t="s">
        <v>7</v>
      </c>
      <c r="E13" s="2" t="s">
        <v>8</v>
      </c>
      <c r="F13" s="2"/>
      <c r="L13" s="24"/>
      <c r="M13" s="24"/>
      <c r="N13" s="24"/>
      <c r="O13" s="24"/>
      <c r="P13" s="24"/>
      <c r="Q13" s="24"/>
    </row>
    <row r="14" spans="1:18" ht="15" customHeight="1" x14ac:dyDescent="0.2">
      <c r="A14" s="2" t="s">
        <v>47</v>
      </c>
      <c r="B14" s="4">
        <v>16</v>
      </c>
      <c r="C14" s="4">
        <v>16</v>
      </c>
      <c r="E14" s="4">
        <v>1</v>
      </c>
      <c r="F14" s="4">
        <v>0.1</v>
      </c>
      <c r="G14" s="4">
        <v>0.2</v>
      </c>
      <c r="H14" s="4">
        <v>0.3</v>
      </c>
      <c r="I14" s="4">
        <v>0.4</v>
      </c>
      <c r="J14" s="4">
        <v>0.5</v>
      </c>
      <c r="L14" s="24"/>
      <c r="M14" s="24"/>
      <c r="N14" s="24"/>
      <c r="O14" s="24"/>
      <c r="P14" s="24"/>
      <c r="Q14" s="24"/>
    </row>
    <row r="15" spans="1:18" ht="15" customHeight="1" x14ac:dyDescent="0.2">
      <c r="A15" s="2" t="s">
        <v>48</v>
      </c>
      <c r="B15" s="4">
        <v>17</v>
      </c>
      <c r="C15" s="4">
        <v>17</v>
      </c>
      <c r="E15" s="1">
        <f ca="1">OFFSET($E$14,COLUMN()-COLUMN($E$14),ROW()-ROW($E$14))</f>
        <v>0.1</v>
      </c>
      <c r="F15" s="4">
        <v>1</v>
      </c>
      <c r="G15" s="4">
        <v>0.1</v>
      </c>
      <c r="H15" s="4">
        <v>0.2</v>
      </c>
      <c r="I15" s="4">
        <v>0.3</v>
      </c>
      <c r="J15" s="4">
        <v>0.4</v>
      </c>
      <c r="L15" s="24"/>
      <c r="M15" s="24"/>
      <c r="N15" s="24"/>
      <c r="O15" s="24"/>
      <c r="P15" s="24"/>
      <c r="Q15" s="24"/>
    </row>
    <row r="16" spans="1:18" ht="15" customHeight="1" x14ac:dyDescent="0.2">
      <c r="A16" s="2" t="s">
        <v>49</v>
      </c>
      <c r="B16" s="4">
        <v>18</v>
      </c>
      <c r="C16" s="4">
        <v>18</v>
      </c>
      <c r="E16" s="1">
        <f ca="1">OFFSET($E$14,COLUMN()-COLUMN($E$14),ROW()-ROW($E$14))</f>
        <v>0.2</v>
      </c>
      <c r="F16" s="1">
        <f ca="1">OFFSET($E$14,COLUMN()-COLUMN($E$14),ROW()-ROW($E$14))</f>
        <v>0.1</v>
      </c>
      <c r="G16" s="4">
        <v>1</v>
      </c>
      <c r="H16" s="4">
        <v>0.1</v>
      </c>
      <c r="I16" s="4">
        <v>0.2</v>
      </c>
      <c r="J16" s="4">
        <v>0.3</v>
      </c>
      <c r="L16" s="24"/>
      <c r="M16" s="24"/>
      <c r="N16" s="24"/>
      <c r="O16" s="24"/>
      <c r="P16" s="24"/>
      <c r="Q16" s="24"/>
    </row>
    <row r="17" spans="1:17" ht="15" customHeight="1" x14ac:dyDescent="0.2">
      <c r="A17" s="2" t="s">
        <v>50</v>
      </c>
      <c r="B17" s="4">
        <v>19</v>
      </c>
      <c r="C17" s="4">
        <v>19</v>
      </c>
      <c r="E17" s="1">
        <f ca="1">OFFSET($E$14,COLUMN()-COLUMN($E$14),ROW()-ROW($E$14))</f>
        <v>0.3</v>
      </c>
      <c r="F17" s="1">
        <f ca="1">OFFSET($E$14,COLUMN()-COLUMN($E$14),ROW()-ROW($E$14))</f>
        <v>0.2</v>
      </c>
      <c r="G17" s="1">
        <f ca="1">OFFSET($E$14,COLUMN()-COLUMN($E$14),ROW()-ROW($E$14))</f>
        <v>0.1</v>
      </c>
      <c r="H17" s="4">
        <v>1</v>
      </c>
      <c r="I17" s="4">
        <v>0.1</v>
      </c>
      <c r="J17" s="4">
        <v>0.2</v>
      </c>
      <c r="L17" s="24"/>
      <c r="M17" s="24"/>
      <c r="N17" s="24"/>
      <c r="O17" s="24"/>
      <c r="P17" s="24"/>
      <c r="Q17" s="24"/>
    </row>
    <row r="18" spans="1:17" ht="15" customHeight="1" x14ac:dyDescent="0.2">
      <c r="A18" s="2" t="s">
        <v>51</v>
      </c>
      <c r="B18" s="4">
        <v>20</v>
      </c>
      <c r="C18" s="4">
        <v>20</v>
      </c>
      <c r="E18" s="1">
        <f ca="1">OFFSET($E$14,COLUMN()-COLUMN($E$14),ROW()-ROW($E$14))</f>
        <v>0.4</v>
      </c>
      <c r="F18" s="1">
        <f ca="1">OFFSET($E$14,COLUMN()-COLUMN($E$14),ROW()-ROW($E$14))</f>
        <v>0.3</v>
      </c>
      <c r="G18" s="1">
        <f ca="1">OFFSET($E$14,COLUMN()-COLUMN($E$14),ROW()-ROW($E$14))</f>
        <v>0.2</v>
      </c>
      <c r="H18" s="1">
        <f ca="1">OFFSET($E$14,COLUMN()-COLUMN($E$14),ROW()-ROW($E$14))</f>
        <v>0.1</v>
      </c>
      <c r="I18" s="4">
        <v>1</v>
      </c>
      <c r="J18" s="4">
        <v>0.1</v>
      </c>
      <c r="L18" s="24"/>
      <c r="M18" s="24"/>
      <c r="N18" s="24"/>
      <c r="O18" s="24"/>
      <c r="P18" s="24"/>
      <c r="Q18" s="24"/>
    </row>
    <row r="19" spans="1:17" ht="15" customHeight="1" x14ac:dyDescent="0.2">
      <c r="A19" s="2" t="s">
        <v>52</v>
      </c>
      <c r="B19" s="4">
        <v>21</v>
      </c>
      <c r="C19" s="4">
        <v>21</v>
      </c>
      <c r="E19" s="1">
        <f ca="1">OFFSET($E$14,COLUMN()-COLUMN($E$14),ROW()-ROW($E$14))</f>
        <v>0.5</v>
      </c>
      <c r="F19" s="1">
        <f ca="1">OFFSET($E$14,COLUMN()-COLUMN($E$14),ROW()-ROW($E$14))</f>
        <v>0.4</v>
      </c>
      <c r="G19" s="1">
        <f ca="1">OFFSET($E$14,COLUMN()-COLUMN($E$14),ROW()-ROW($E$14))</f>
        <v>0.3</v>
      </c>
      <c r="H19" s="1">
        <f ca="1">OFFSET($E$14,COLUMN()-COLUMN($E$14),ROW()-ROW($E$14))</f>
        <v>0.2</v>
      </c>
      <c r="I19" s="1">
        <f ca="1">OFFSET($E$14,COLUMN()-COLUMN($E$14),ROW()-ROW($E$14))</f>
        <v>0.1</v>
      </c>
      <c r="J19" s="4">
        <v>1</v>
      </c>
      <c r="L19" s="23"/>
      <c r="M19" s="23"/>
      <c r="N19" s="23"/>
      <c r="O19" s="23"/>
      <c r="P19" s="23"/>
      <c r="Q19" s="23"/>
    </row>
    <row r="20" spans="1:17" ht="15" customHeight="1" x14ac:dyDescent="0.2">
      <c r="L20" s="23"/>
      <c r="M20" s="23"/>
      <c r="N20" s="23"/>
      <c r="O20" s="23"/>
      <c r="P20" s="23"/>
      <c r="Q20" s="23"/>
    </row>
    <row r="21" spans="1:17" ht="15" customHeight="1" x14ac:dyDescent="0.2">
      <c r="A21" s="20" t="s">
        <v>9</v>
      </c>
      <c r="B21" s="4">
        <v>18</v>
      </c>
      <c r="L21" s="23"/>
      <c r="M21" s="23"/>
      <c r="N21" s="23"/>
      <c r="O21" s="23"/>
      <c r="P21" s="23"/>
      <c r="Q21" s="23"/>
    </row>
    <row r="22" spans="1:17" x14ac:dyDescent="0.2">
      <c r="A22" s="20" t="s">
        <v>10</v>
      </c>
      <c r="B22" s="4">
        <v>11</v>
      </c>
    </row>
    <row r="25" spans="1:17" x14ac:dyDescent="0.2">
      <c r="A25" s="17" t="s">
        <v>11</v>
      </c>
      <c r="C25" s="17" t="s">
        <v>9</v>
      </c>
      <c r="E25" s="17" t="s">
        <v>10</v>
      </c>
      <c r="F25" s="16"/>
      <c r="G25" s="16"/>
    </row>
    <row r="26" spans="1:17" x14ac:dyDescent="0.2">
      <c r="A26" s="17" t="s">
        <v>12</v>
      </c>
      <c r="C26" s="17" t="s">
        <v>13</v>
      </c>
      <c r="E26" s="17" t="s">
        <v>13</v>
      </c>
      <c r="F26" s="16"/>
      <c r="G26" s="16"/>
    </row>
    <row r="27" spans="1:17" x14ac:dyDescent="0.2">
      <c r="A27" s="18" cm="1">
        <f t="array" aca="1" ref="A27:A32" ca="1">MMULT(MINVERSE(OFFSET('Placeholder cells'!A24,,,COUNTA($B$14:$B$19),COUNTA($B$14:$B$19))),OFFSET('Placeholder cells'!A2,,,COUNTA(Model!B14:B19)))/(SUMPRODUCT(MMULT(MINVERSE(OFFSET('Placeholder cells'!A24,,,COUNTA($B$14:$B$19),COUNTA($B$14:$B$19))),OFFSET('Placeholder cells'!A2,,,COUNTA(Model!B14:B19))),OFFSET('Placeholder cells'!A2,,,COUNTA(Model!B14:B19))))</f>
        <v>0.30049998621007457</v>
      </c>
      <c r="B27" s="9">
        <v>1</v>
      </c>
      <c r="C27" s="18">
        <f ca="1">IF(Model!$B$21&gt;'Placeholder cells'!$G$13,IF($B$21&gt;'Placeholder cells'!$I$13,'Placeholder cells'!$I$19*'Placeholder cells'!I2,'Placeholder cells'!$L$2*'Placeholder cells'!G2+'Placeholder cells'!$L$3*'Placeholder cells'!I2),'Placeholder cells'!$G$19*'Placeholder cells'!G2)</f>
        <v>8.5197972550627596E-2</v>
      </c>
      <c r="D27" s="7"/>
      <c r="E27" s="19">
        <f ca="1">IF($B$22&lt;='Placeholder cells'!$G$10,'Placeholder cells'!G2*'Placeholder cells'!$N$2,IF(Model!$B$22&gt;='Placeholder cells'!$I$10,'Placeholder cells'!I2*'Placeholder cells'!$N$5,'Placeholder cells'!M13))</f>
        <v>7.6431622697671786E-2</v>
      </c>
      <c r="F27" s="7"/>
    </row>
    <row r="28" spans="1:17" x14ac:dyDescent="0.2">
      <c r="A28" s="18">
        <f ca="1"/>
        <v>0.30346495842849125</v>
      </c>
      <c r="B28" s="9">
        <v>2</v>
      </c>
      <c r="C28" s="18">
        <f ca="1">IF(Model!$B$21&gt;'Placeholder cells'!$G$13,IF($B$21&gt;'Placeholder cells'!$I$13,'Placeholder cells'!$I$19*'Placeholder cells'!I3,'Placeholder cells'!$L$2*'Placeholder cells'!G3+'Placeholder cells'!$L$3*'Placeholder cells'!I3),'Placeholder cells'!$G$19*'Placeholder cells'!G3)</f>
        <v>0.17267532700710311</v>
      </c>
      <c r="D28" s="7"/>
      <c r="E28" s="19">
        <f ca="1">IF($B$22&lt;='Placeholder cells'!$G$10,'Placeholder cells'!G3*'Placeholder cells'!$N$2,IF(Model!$B$22&gt;='Placeholder cells'!$I$10,'Placeholder cells'!I3*'Placeholder cells'!$N$5,'Placeholder cells'!M14))</f>
        <v>0.17168801517522322</v>
      </c>
      <c r="F28" s="7"/>
    </row>
    <row r="29" spans="1:17" x14ac:dyDescent="0.2">
      <c r="A29" s="18">
        <f ca="1"/>
        <v>0.25127290756676413</v>
      </c>
      <c r="B29" s="9">
        <v>3</v>
      </c>
      <c r="C29" s="18">
        <f ca="1">IF(Model!$B$21&gt;'Placeholder cells'!$G$13,IF($B$21&gt;'Placeholder cells'!$I$13,'Placeholder cells'!$I$19*'Placeholder cells'!I4,'Placeholder cells'!$L$2*'Placeholder cells'!G4+'Placeholder cells'!$L$3*'Placeholder cells'!I4),'Placeholder cells'!$G$19*'Placeholder cells'!G4)</f>
        <v>0.21749847354282784</v>
      </c>
      <c r="D29" s="7"/>
      <c r="E29" s="19">
        <f ca="1">IF($B$22&lt;='Placeholder cells'!$G$10,'Placeholder cells'!G4*'Placeholder cells'!$N$2,IF(Model!$B$22&gt;='Placeholder cells'!$I$10,'Placeholder cells'!I4*'Placeholder cells'!$N$5,'Placeholder cells'!M15))</f>
        <v>0.22344655029660257</v>
      </c>
      <c r="F29" s="7"/>
    </row>
    <row r="30" spans="1:17" x14ac:dyDescent="0.2">
      <c r="A30" s="18">
        <f ca="1"/>
        <v>0.15895448899754852</v>
      </c>
      <c r="B30" s="9">
        <v>4</v>
      </c>
      <c r="C30" s="18">
        <f ca="1">IF(Model!$B$21&gt;'Placeholder cells'!$G$13,IF($B$21&gt;'Placeholder cells'!$I$13,'Placeholder cells'!$I$19*'Placeholder cells'!I5,'Placeholder cells'!$L$2*'Placeholder cells'!G5+'Placeholder cells'!$L$3*'Placeholder cells'!I5),'Placeholder cells'!$G$19*'Placeholder cells'!G5)</f>
        <v>0.21613942088722399</v>
      </c>
      <c r="D30" s="7"/>
      <c r="E30" s="19">
        <f ca="1">IF($B$22&lt;='Placeholder cells'!$G$10,'Placeholder cells'!G5*'Placeholder cells'!$N$2,IF(Model!$B$22&gt;='Placeholder cells'!$I$10,'Placeholder cells'!I5*'Placeholder cells'!$N$5,'Placeholder cells'!M16))</f>
        <v>0.22703356544938411</v>
      </c>
      <c r="F30" s="7"/>
    </row>
    <row r="31" spans="1:17" x14ac:dyDescent="0.2">
      <c r="A31" s="18">
        <f ca="1"/>
        <v>4.7272947986391624E-2</v>
      </c>
      <c r="B31" s="9">
        <v>5</v>
      </c>
      <c r="C31" s="18">
        <f ca="1">IF(Model!$B$21&gt;'Placeholder cells'!$G$13,IF($B$21&gt;'Placeholder cells'!$I$13,'Placeholder cells'!$I$19*'Placeholder cells'!I6,'Placeholder cells'!$L$2*'Placeholder cells'!G6+'Placeholder cells'!$L$3*'Placeholder cells'!I6),'Placeholder cells'!$G$19*'Placeholder cells'!G6)</f>
        <v>0.17364489158919952</v>
      </c>
      <c r="D31" s="7"/>
      <c r="E31" s="19">
        <f ca="1">IF($B$22&lt;='Placeholder cells'!$G$10,'Placeholder cells'!G6*'Placeholder cells'!$N$2,IF(Model!$B$22&gt;='Placeholder cells'!$I$10,'Placeholder cells'!I6*'Placeholder cells'!$N$5,'Placeholder cells'!M17))</f>
        <v>0.18681379695755909</v>
      </c>
      <c r="F31" s="7"/>
    </row>
    <row r="32" spans="1:17" x14ac:dyDescent="0.2">
      <c r="A32" s="18">
        <f ca="1"/>
        <v>-6.1465289189270134E-2</v>
      </c>
      <c r="B32" s="9">
        <v>6</v>
      </c>
      <c r="C32" s="18">
        <f ca="1">IF(Model!$B$21&gt;'Placeholder cells'!$G$13,IF($B$21&gt;'Placeholder cells'!$I$13,'Placeholder cells'!$I$19*'Placeholder cells'!I7,'Placeholder cells'!$L$2*'Placeholder cells'!G7+'Placeholder cells'!$L$3*'Placeholder cells'!I7),'Placeholder cells'!$G$19*'Placeholder cells'!G7)</f>
        <v>0.10195498414794862</v>
      </c>
      <c r="E32" s="19">
        <f ca="1">IF($B$22&lt;='Placeholder cells'!$G$10,'Placeholder cells'!G7*'Placeholder cells'!$N$2,IF(Model!$B$22&gt;='Placeholder cells'!$I$10,'Placeholder cells'!I7*'Placeholder cells'!$N$5,'Placeholder cells'!M18))</f>
        <v>0.11458644942356033</v>
      </c>
      <c r="F32" s="7"/>
    </row>
    <row r="33" spans="1:6" x14ac:dyDescent="0.2">
      <c r="A33" s="10"/>
      <c r="B33" s="9" t="s">
        <v>14</v>
      </c>
      <c r="C33" s="18">
        <f ca="1">IF(Model!$B$21&lt;'Placeholder cells'!$G$13,'Placeholder cells'!$G$21,'Placeholder cells'!$I$21)</f>
        <v>3.2888930275069228E-2</v>
      </c>
      <c r="D33" s="7"/>
      <c r="E33" s="19">
        <f ca="1">IF(B22&lt;='Placeholder cells'!G10,'Placeholder cells'!O2,IF(B22&lt;='Placeholder cells'!I10,0,'Placeholder cells'!O5))</f>
        <v>0</v>
      </c>
    </row>
    <row r="34" spans="1:6" x14ac:dyDescent="0.2">
      <c r="C34" s="13"/>
    </row>
    <row r="35" spans="1:6" x14ac:dyDescent="0.2">
      <c r="A35" s="2" t="s">
        <v>15</v>
      </c>
      <c r="C35" s="2" t="s">
        <v>15</v>
      </c>
      <c r="E35" s="2" t="s">
        <v>15</v>
      </c>
      <c r="F35" s="2"/>
    </row>
    <row r="36" spans="1:6" x14ac:dyDescent="0.2">
      <c r="A36" s="15">
        <f ca="1">SUMPRODUCT(_xlfn.ANCHORARRAY(A27),B14:B19)</f>
        <v>17.164639586553882</v>
      </c>
      <c r="B36" s="7"/>
      <c r="C36" s="6">
        <f ca="1">SUMPRODUCT(C27:C32,B14:B19)+C33*IF(B21&lt;'Placeholder cells'!G13,Model!C10,IF(B21&lt;'Placeholder cells'!I13,0,Model!C11))</f>
        <v>18.000000000000004</v>
      </c>
      <c r="D36" s="7"/>
      <c r="E36" s="6">
        <f ca="1">SUMPRODUCT(E27:E32,B14:B19)+E33*IF(B22&lt;='Placeholder cells'!G10,C10,IF(B22&lt;'Placeholder cells'!I10,0,C11))</f>
        <v>18.619869247064635</v>
      </c>
    </row>
    <row r="38" spans="1:6" x14ac:dyDescent="0.2">
      <c r="A38" s="2" t="s">
        <v>16</v>
      </c>
      <c r="C38" s="2" t="s">
        <v>16</v>
      </c>
      <c r="E38" s="2" t="s">
        <v>16</v>
      </c>
      <c r="F38" s="2"/>
    </row>
    <row r="39" spans="1:6" x14ac:dyDescent="0.2">
      <c r="A39" s="15" cm="1">
        <f t="array" aca="1" ref="A39" ca="1">SQRT(MMULT(MMULT(TRANSPOSE(_xlfn.ANCHORARRAY(A27)),_xlfn.ANCHORARRAY('Placeholder cells'!A24)),_xlfn.ANCHORARRAY(Model!A27)))</f>
        <v>10.48222213893203</v>
      </c>
      <c r="B39" s="7"/>
      <c r="C39" s="15">
        <f ca="1">IF(B21&lt;='Placeholder cells'!G13,'Placeholder cells'!G19*'Placeholder cells'!G10,'Placeholder cells'!I19*'Placeholder cells'!I10)</f>
        <v>10.588525357402348</v>
      </c>
      <c r="D39" s="7"/>
      <c r="E39" s="6">
        <f ca="1">'Placeholder cells'!N2*'Placeholder cells'!G10</f>
        <v>11</v>
      </c>
    </row>
  </sheetData>
  <mergeCells count="2">
    <mergeCell ref="M3:P3"/>
    <mergeCell ref="L4:Q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0F49C-7D37-AF43-9165-B39216678B95}">
  <sheetPr codeName="Sheet2"/>
  <dimension ref="A1:O29"/>
  <sheetViews>
    <sheetView workbookViewId="0">
      <selection activeCell="G18" sqref="G18"/>
    </sheetView>
  </sheetViews>
  <sheetFormatPr baseColWidth="10" defaultRowHeight="15" x14ac:dyDescent="0.2"/>
  <cols>
    <col min="3" max="3" width="11.6640625" bestFit="1" customWidth="1"/>
    <col min="7" max="7" width="20.83203125" bestFit="1" customWidth="1"/>
    <col min="9" max="9" width="27.83203125" bestFit="1" customWidth="1"/>
    <col min="11" max="11" width="17.6640625" bestFit="1" customWidth="1"/>
    <col min="14" max="14" width="15.6640625" bestFit="1" customWidth="1"/>
  </cols>
  <sheetData>
    <row r="1" spans="1:15" x14ac:dyDescent="0.2">
      <c r="A1" s="12" t="s">
        <v>17</v>
      </c>
      <c r="C1" s="12" t="s">
        <v>26</v>
      </c>
      <c r="E1" s="12" t="s">
        <v>28</v>
      </c>
      <c r="G1" s="2" t="s">
        <v>22</v>
      </c>
      <c r="I1" s="2" t="s">
        <v>25</v>
      </c>
      <c r="K1" s="2" t="s">
        <v>34</v>
      </c>
      <c r="L1" t="s">
        <v>37</v>
      </c>
      <c r="N1" s="2" t="s">
        <v>38</v>
      </c>
      <c r="O1" s="2" t="s">
        <v>39</v>
      </c>
    </row>
    <row r="2" spans="1:15" x14ac:dyDescent="0.2">
      <c r="A2">
        <f>IF(ISNUMBER(Model!B14),1,"")</f>
        <v>1</v>
      </c>
      <c r="C2">
        <f>IF(ISNUMBER(Model!B14),Model!B14-Model!$C$10,"")</f>
        <v>14</v>
      </c>
      <c r="E2" cm="1">
        <f t="array" aca="1" ref="E2:E7" ca="1">MMULT(MINVERSE(OFFSET($A$24,,,COUNTA(C2:C7),COUNTA(C2:C7))),OFFSET(C2,,,COUNTA(A2:A7)))</f>
        <v>1.2158451890402801E-2</v>
      </c>
      <c r="G2" s="13">
        <f ca="1">E2/SUM($E$2:$E$7)</f>
        <v>8.8095333842947238E-2</v>
      </c>
      <c r="I2">
        <f ca="1">E10/SUM($E$10:$E$15)</f>
        <v>-5.0963916896445978E-2</v>
      </c>
      <c r="K2" t="s">
        <v>35</v>
      </c>
      <c r="L2">
        <f ca="1">(Model!B21-'Placeholder cells'!I13)/('Placeholder cells'!G13 - 'Placeholder cells'!I13)</f>
        <v>1.6024798073853506</v>
      </c>
      <c r="N2">
        <f ca="1">Model!B22/'Placeholder cells'!G10</f>
        <v>1.0046934212172565</v>
      </c>
      <c r="O2">
        <f ca="1">1-N2</f>
        <v>-4.693421217256466E-3</v>
      </c>
    </row>
    <row r="3" spans="1:15" x14ac:dyDescent="0.2">
      <c r="A3">
        <f>IF(ISNUMBER(Model!B15),1,"")</f>
        <v>1</v>
      </c>
      <c r="C3">
        <f>IF(ISNUMBER(Model!B15),Model!B15-Model!$C$10,"")</f>
        <v>15</v>
      </c>
      <c r="E3">
        <f ca="1"/>
        <v>2.464219033883535E-2</v>
      </c>
      <c r="G3" s="13">
        <f t="shared" ref="G3:G7" ca="1" si="0">E3/SUM($E$2:$E$7)</f>
        <v>0.17854756543756248</v>
      </c>
      <c r="I3">
        <f t="shared" ref="I3:I7" ca="1" si="1">E11/SUM($E$10:$E$15)</f>
        <v>9.6765368672811714E-2</v>
      </c>
      <c r="K3" t="s">
        <v>36</v>
      </c>
      <c r="L3">
        <f ca="1">1-L2</f>
        <v>-0.60247980738535056</v>
      </c>
    </row>
    <row r="4" spans="1:15" x14ac:dyDescent="0.2">
      <c r="A4">
        <f>IF(ISNUMBER(Model!B16),1,"")</f>
        <v>1</v>
      </c>
      <c r="C4">
        <f>IF(ISNUMBER(Model!B16),Model!B16-Model!$C$10,"")</f>
        <v>16</v>
      </c>
      <c r="E4">
        <f ca="1"/>
        <v>3.1038822258770273E-2</v>
      </c>
      <c r="G4" s="13">
        <f t="shared" ca="1" si="0"/>
        <v>0.22489503052083723</v>
      </c>
      <c r="I4">
        <f t="shared" ca="1" si="1"/>
        <v>0.2076256921272395</v>
      </c>
      <c r="N4" s="2" t="s">
        <v>40</v>
      </c>
      <c r="O4" s="2" t="s">
        <v>41</v>
      </c>
    </row>
    <row r="5" spans="1:15" x14ac:dyDescent="0.2">
      <c r="A5">
        <f>IF(ISNUMBER(Model!B17),1,"")</f>
        <v>1</v>
      </c>
      <c r="C5">
        <f>IF(ISNUMBER(Model!B17),Model!B17-Model!$C$10,"")</f>
        <v>17</v>
      </c>
      <c r="E5">
        <f ca="1"/>
        <v>3.0844874259363778E-2</v>
      </c>
      <c r="G5" s="13">
        <f t="shared" ca="1" si="0"/>
        <v>0.22348976002177201</v>
      </c>
      <c r="I5">
        <f t="shared" ca="1" si="1"/>
        <v>0.26574037146026752</v>
      </c>
      <c r="N5">
        <f ca="1">Model!B22/I10</f>
        <v>0.93895860115312213</v>
      </c>
      <c r="O5">
        <f ca="1">1-N5</f>
        <v>6.104139884687787E-2</v>
      </c>
    </row>
    <row r="6" spans="1:15" x14ac:dyDescent="0.2">
      <c r="A6">
        <f>IF(ISNUMBER(Model!B18),1,"")</f>
        <v>1</v>
      </c>
      <c r="C6">
        <f>IF(ISNUMBER(Model!B18),Model!B18-Model!$C$10,"")</f>
        <v>18</v>
      </c>
      <c r="E6">
        <f ca="1"/>
        <v>2.4780555184536954E-2</v>
      </c>
      <c r="G6" s="13">
        <f t="shared" ca="1" si="0"/>
        <v>0.17955010238750366</v>
      </c>
      <c r="I6">
        <f t="shared" ca="1" si="1"/>
        <v>0.26615066304360568</v>
      </c>
    </row>
    <row r="7" spans="1:15" x14ac:dyDescent="0.2">
      <c r="A7">
        <f>IF(ISNUMBER(Model!B19),1,"")</f>
        <v>1</v>
      </c>
      <c r="C7">
        <f>IF(ISNUMBER(Model!B19),Model!B19-Model!$C$10,"")</f>
        <v>19</v>
      </c>
      <c r="E7">
        <f ca="1"/>
        <v>1.4549815361075538E-2</v>
      </c>
      <c r="G7" s="13">
        <f t="shared" ca="1" si="0"/>
        <v>0.10542220778937732</v>
      </c>
      <c r="I7">
        <f t="shared" ca="1" si="1"/>
        <v>0.21468182159252169</v>
      </c>
    </row>
    <row r="9" spans="1:15" x14ac:dyDescent="0.2">
      <c r="C9" s="2" t="s">
        <v>27</v>
      </c>
      <c r="E9" s="2" t="s">
        <v>29</v>
      </c>
      <c r="G9" s="2" t="s">
        <v>20</v>
      </c>
      <c r="I9" s="2" t="s">
        <v>30</v>
      </c>
      <c r="L9" t="s">
        <v>42</v>
      </c>
      <c r="M9" t="s">
        <v>19</v>
      </c>
      <c r="N9" t="s">
        <v>43</v>
      </c>
      <c r="O9" t="s">
        <v>44</v>
      </c>
    </row>
    <row r="10" spans="1:15" x14ac:dyDescent="0.2">
      <c r="C10">
        <f>IF(ISNUMBER(Model!B14),Model!B14-Model!$C$11,"")</f>
        <v>8</v>
      </c>
      <c r="E10" cm="1">
        <f t="array" aca="1" ref="E10:E15" ca="1">MMULT(MINVERSE(OFFSET($A$24,,,COUNTA(A2:A7),COUNTA(A2:A7))),OFFSET(C10,,,COUNTA(A2:A7)))</f>
        <v>-4.2508078230042434E-3</v>
      </c>
      <c r="G10" s="13" cm="1">
        <f t="array" aca="1" ref="G10" ca="1">SQRT(MMULT(MMULT(TRANSPOSE(OFFSET(G2,,,COUNTA(A2:A7))),OFFSET(A24,,,COUNTA(A2:A7),COUNTA(A2:A7))),OFFSET(G2,,,COUNTA(A2:A7))))</f>
        <v>10.948613544888877</v>
      </c>
      <c r="I10" cm="1">
        <f t="array" aca="1" ref="I10" ca="1">SQRT(MMULT(MMULT(TRANSPOSE(OFFSET(I2,,,COUNTA(A2:A7))),OFFSET(A24,,,COUNTA(A2:A7),COUNTA(A2:A7))),OFFSET(I2,,,COUNTA(A2:A7))))</f>
        <v>11.715106487646048</v>
      </c>
      <c r="L10" cm="1">
        <f t="array" aca="1" ref="L10" ca="1">MMULT(MMULT(TRANSPOSE(A2:A7),MINVERSE(A24:F29)),A2:A7)</f>
        <v>9.1010873357886459E-3</v>
      </c>
      <c r="M10" cm="1">
        <f t="array" aca="1" ref="M10" ca="1">MMULT(MMULT(TRANSPOSE(A2:A7),MINVERSE(A24:F29)),Model!B14:B19)</f>
        <v>0.15621688396456196</v>
      </c>
      <c r="N10" cm="1">
        <f t="array" aca="1" ref="N10" ca="1">MMULT(MMULT(TRANSPOSE(Model!B14:B19),MINVERSE(A24:F29)),Model!B14:B19)</f>
        <v>2.8717948717948718</v>
      </c>
      <c r="O10">
        <f ca="1">(L10*N10) - (M10^2)</f>
        <v>1.7327411030776708E-3</v>
      </c>
    </row>
    <row r="11" spans="1:15" x14ac:dyDescent="0.2">
      <c r="C11">
        <f>IF(ISNUMBER(Model!B15),Model!B15-Model!$C$11,"")</f>
        <v>9</v>
      </c>
      <c r="E11">
        <f ca="1"/>
        <v>8.0710237987803163E-3</v>
      </c>
    </row>
    <row r="12" spans="1:15" x14ac:dyDescent="0.2">
      <c r="C12">
        <f>IF(ISNUMBER(Model!B16),Model!B16-Model!$C$11,"")</f>
        <v>10</v>
      </c>
      <c r="E12">
        <f ca="1"/>
        <v>1.731768219747426E-2</v>
      </c>
      <c r="G12" s="2" t="s">
        <v>21</v>
      </c>
      <c r="I12" s="2" t="s">
        <v>15</v>
      </c>
      <c r="L12" t="s">
        <v>45</v>
      </c>
      <c r="M12" t="s">
        <v>46</v>
      </c>
    </row>
    <row r="13" spans="1:15" x14ac:dyDescent="0.2">
      <c r="C13">
        <f>IF(ISNUMBER(Model!B17),Model!B17-Model!$C$11,"")</f>
        <v>11</v>
      </c>
      <c r="E13">
        <f ca="1"/>
        <v>2.2164922138669711E-2</v>
      </c>
      <c r="G13" s="14">
        <f ca="1">SUMPRODUCT(OFFSET(G2,,,COUNTA(A2:A7)),OFFSET(Model!B14,,,COUNTA('Placeholder cells'!A2:A7)))</f>
        <v>18.544118355041451</v>
      </c>
      <c r="I13">
        <f ca="1">SUMPRODUCT(OFFSET(I2,,,COUNTA(A2:A7)),OFFSET(Model!B14,,,COUNTA('Placeholder cells'!A2:A7)))</f>
        <v>19.447249627445125</v>
      </c>
      <c r="L13">
        <f ca="1">MAX((M$10+SQRT((M$10^2)-L$10*(N$10-O$10*(Model!B22^2))))/L$10,((M$10-SQRT((M$10^2)-L$10*(N$10-O$10*(Model!B22^2))))/L$10))</f>
        <v>18.619869247064621</v>
      </c>
      <c r="M13" cm="1">
        <f t="array" aca="1" ref="M13:M18" ca="1">(($N$10-$M$10*L13)/$O$10)*(MMULT(MINVERSE(_xlfn.ANCHORARRAY(A24)),A2:A7)) + (($L$10*L13-$M$10)/O10)*MMULT(MINVERSE(_xlfn.ANCHORARRAY(A24)),Model!B14:B19)</f>
        <v>7.6431622697671786E-2</v>
      </c>
    </row>
    <row r="14" spans="1:15" x14ac:dyDescent="0.2">
      <c r="C14">
        <f>IF(ISNUMBER(Model!B18),Model!B18-Model!$C$11,"")</f>
        <v>12</v>
      </c>
      <c r="E14">
        <f ca="1"/>
        <v>2.2199143815070887E-2</v>
      </c>
      <c r="M14">
        <f ca="1"/>
        <v>0.17168801517522322</v>
      </c>
    </row>
    <row r="15" spans="1:15" x14ac:dyDescent="0.2">
      <c r="C15">
        <f>IF(ISNUMBER(Model!B19),Model!B19-Model!$C$11,"")</f>
        <v>13</v>
      </c>
      <c r="E15">
        <f ca="1"/>
        <v>1.7906221151261857E-2</v>
      </c>
      <c r="G15" s="2" t="s">
        <v>32</v>
      </c>
      <c r="I15" s="2" t="s">
        <v>31</v>
      </c>
      <c r="M15">
        <f ca="1"/>
        <v>0.22344655029660257</v>
      </c>
    </row>
    <row r="16" spans="1:15" x14ac:dyDescent="0.2">
      <c r="G16">
        <f ca="1">(G13-Model!C10)/'Placeholder cells'!G10</f>
        <v>1.5110697155590731</v>
      </c>
      <c r="M16">
        <f ca="1"/>
        <v>0.22703356544938411</v>
      </c>
    </row>
    <row r="17" spans="1:13" x14ac:dyDescent="0.2">
      <c r="M17">
        <f ca="1"/>
        <v>0.18681379695755909</v>
      </c>
    </row>
    <row r="18" spans="1:13" x14ac:dyDescent="0.2">
      <c r="G18" s="2" t="s">
        <v>23</v>
      </c>
      <c r="I18" s="2" t="s">
        <v>33</v>
      </c>
      <c r="M18">
        <f ca="1"/>
        <v>0.11458644942356033</v>
      </c>
    </row>
    <row r="19" spans="1:13" x14ac:dyDescent="0.2">
      <c r="G19" s="14">
        <f ca="1">(Model!B21 - Model!C10) / ('Placeholder cells'!G13-Model!C10)</f>
        <v>0.96711106972493077</v>
      </c>
      <c r="I19" s="11">
        <f ca="1">(Model!B21 - Model!C11) / ('Placeholder cells'!I13-Model!C11)</f>
        <v>0.87357228377589491</v>
      </c>
      <c r="M19">
        <f ca="1">SUM(_xlfn.ANCHORARRAY(M13))</f>
        <v>1.0000000000000011</v>
      </c>
    </row>
    <row r="20" spans="1:13" x14ac:dyDescent="0.2">
      <c r="G20" s="2" t="s">
        <v>24</v>
      </c>
      <c r="I20" s="2" t="s">
        <v>24</v>
      </c>
    </row>
    <row r="21" spans="1:13" x14ac:dyDescent="0.2">
      <c r="G21" s="14">
        <f ca="1">1-G19</f>
        <v>3.2888930275069228E-2</v>
      </c>
      <c r="I21" s="11">
        <f ca="1">1-I19</f>
        <v>0.12642771622410509</v>
      </c>
    </row>
    <row r="23" spans="1:13" x14ac:dyDescent="0.2">
      <c r="A23" s="2" t="s">
        <v>18</v>
      </c>
    </row>
    <row r="24" spans="1:13" x14ac:dyDescent="0.2">
      <c r="A24" cm="1">
        <f t="array" aca="1" ref="A24:F29" ca="1">(Model!C14:C19 * TRANSPOSE(Model!C14:C19)) * Model!E14:J19</f>
        <v>256</v>
      </c>
      <c r="B24">
        <f ca="1"/>
        <v>27.200000000000003</v>
      </c>
      <c r="C24">
        <f ca="1"/>
        <v>57.6</v>
      </c>
      <c r="D24">
        <f ca="1"/>
        <v>91.2</v>
      </c>
      <c r="E24">
        <f ca="1"/>
        <v>128</v>
      </c>
      <c r="F24">
        <f ca="1"/>
        <v>168</v>
      </c>
    </row>
    <row r="25" spans="1:13" x14ac:dyDescent="0.2">
      <c r="A25">
        <f ca="1"/>
        <v>27.200000000000003</v>
      </c>
      <c r="B25">
        <f ca="1"/>
        <v>289</v>
      </c>
      <c r="C25">
        <f ca="1"/>
        <v>30.6</v>
      </c>
      <c r="D25" s="11">
        <f ca="1"/>
        <v>64.600000000000009</v>
      </c>
      <c r="E25">
        <f ca="1"/>
        <v>102</v>
      </c>
      <c r="F25">
        <f ca="1"/>
        <v>142.80000000000001</v>
      </c>
    </row>
    <row r="26" spans="1:13" x14ac:dyDescent="0.2">
      <c r="A26">
        <f ca="1"/>
        <v>57.6</v>
      </c>
      <c r="B26">
        <f ca="1"/>
        <v>30.6</v>
      </c>
      <c r="C26">
        <f ca="1"/>
        <v>324</v>
      </c>
      <c r="D26">
        <f ca="1"/>
        <v>34.200000000000003</v>
      </c>
      <c r="E26">
        <f ca="1"/>
        <v>72</v>
      </c>
      <c r="F26">
        <f ca="1"/>
        <v>113.39999999999999</v>
      </c>
    </row>
    <row r="27" spans="1:13" x14ac:dyDescent="0.2">
      <c r="A27">
        <f ca="1"/>
        <v>91.2</v>
      </c>
      <c r="B27">
        <f ca="1"/>
        <v>64.600000000000009</v>
      </c>
      <c r="C27">
        <f ca="1"/>
        <v>34.200000000000003</v>
      </c>
      <c r="D27">
        <f ca="1"/>
        <v>361</v>
      </c>
      <c r="E27">
        <f ca="1"/>
        <v>38</v>
      </c>
      <c r="F27">
        <f ca="1"/>
        <v>79.800000000000011</v>
      </c>
    </row>
    <row r="28" spans="1:13" x14ac:dyDescent="0.2">
      <c r="A28">
        <f ca="1"/>
        <v>128</v>
      </c>
      <c r="B28">
        <f ca="1"/>
        <v>102</v>
      </c>
      <c r="C28">
        <f ca="1"/>
        <v>72</v>
      </c>
      <c r="D28">
        <f ca="1"/>
        <v>38</v>
      </c>
      <c r="E28">
        <f ca="1"/>
        <v>400</v>
      </c>
      <c r="F28">
        <f ca="1"/>
        <v>42</v>
      </c>
    </row>
    <row r="29" spans="1:13" x14ac:dyDescent="0.2">
      <c r="A29">
        <f ca="1"/>
        <v>168</v>
      </c>
      <c r="B29">
        <f ca="1"/>
        <v>142.80000000000001</v>
      </c>
      <c r="C29">
        <f ca="1"/>
        <v>113.39999999999999</v>
      </c>
      <c r="D29">
        <f ca="1"/>
        <v>79.800000000000011</v>
      </c>
      <c r="E29">
        <f ca="1"/>
        <v>42</v>
      </c>
      <c r="F29">
        <f ca="1"/>
        <v>441</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Model</vt:lpstr>
      <vt:lpstr>Placeholder cells</vt:lpstr>
    </vt:vector>
  </TitlesOfParts>
  <Company>The University of Melbourne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Mark Joshi</dc:creator>
  <cp:lastModifiedBy>Hart Louie D</cp:lastModifiedBy>
  <dcterms:created xsi:type="dcterms:W3CDTF">2010-02-18T23:13:47Z</dcterms:created>
  <dcterms:modified xsi:type="dcterms:W3CDTF">2026-03-05T02:23:35Z</dcterms:modified>
</cp:coreProperties>
</file>